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715" windowHeight="5550" tabRatio="909" firstSheet="8" activeTab="14"/>
  </bookViews>
  <sheets>
    <sheet name="งบทดลอง1" sheetId="1" r:id="rId1"/>
    <sheet name="รับ-จ่ายเงินสด (2)" sheetId="2" r:id="rId2"/>
    <sheet name="539-6-01276-5" sheetId="3" r:id="rId3"/>
    <sheet name="001-2-50657-8" sheetId="4" r:id="rId4"/>
    <sheet name="รายละเอียด" sheetId="5" r:id="rId5"/>
    <sheet name="001-4-10325-7" sheetId="6" r:id="rId6"/>
    <sheet name="001-2-62433-8" sheetId="7" r:id="rId7"/>
    <sheet name="504-0-23040-0" sheetId="8" r:id="rId8"/>
    <sheet name="รายละเอียดเงินอุดหนุนเฉพาะกิจ" sheetId="9" r:id="rId9"/>
    <sheet name="ลูกหนี้เงินยืม 2" sheetId="10" r:id="rId10"/>
    <sheet name="รายจ่ายค้างจ่าย 1" sheetId="11" r:id="rId11"/>
    <sheet name="รายละเอียดเงินสะสม" sheetId="12" r:id="rId12"/>
    <sheet name="รายงานยอดเงินสะสม" sheetId="13" r:id="rId13"/>
    <sheet name="รายละเอียดเงินรับฝาก" sheetId="14" r:id="rId14"/>
    <sheet name="งบกระทบยอด" sheetId="15" r:id="rId15"/>
    <sheet name="ส่งใช้" sheetId="16" r:id="rId16"/>
    <sheet name="มาตรฐาน 1" sheetId="17" r:id="rId17"/>
    <sheet name="มาตรฐาน2" sheetId="18" r:id="rId18"/>
    <sheet name="มาตรฐาน 3" sheetId="19" r:id="rId19"/>
    <sheet name="Sheet2" sheetId="20" r:id="rId20"/>
    <sheet name="รายการปรับปรุงทั่วไป" sheetId="21" r:id="rId21"/>
    <sheet name="โอนเงินสินเดือน" sheetId="22" r:id="rId22"/>
    <sheet name="รายการโอน" sheetId="23" r:id="rId23"/>
    <sheet name="งบทดลอง1 (2)" sheetId="24" r:id="rId24"/>
    <sheet name="รายการปรับปรุงต้นปี" sheetId="25" r:id="rId25"/>
  </sheets>
  <definedNames/>
  <calcPr fullCalcOnLoad="1"/>
</workbook>
</file>

<file path=xl/sharedStrings.xml><?xml version="1.0" encoding="utf-8"?>
<sst xmlns="http://schemas.openxmlformats.org/spreadsheetml/2006/main" count="1633" uniqueCount="652">
  <si>
    <t>เลขที่.........................../2553...........</t>
  </si>
  <si>
    <t>เงินรับฝาก - เงินสวัสดิการฯ ธ.ออมสิน</t>
  </si>
  <si>
    <t>เลขที่........................../2552...........</t>
  </si>
  <si>
    <t>บัญชี ออมทรัพย์ ธกส. เลขที่ 001-2-50657-8</t>
  </si>
  <si>
    <t xml:space="preserve">    บัญชี กระแสรายวัน กรุงไทย เลขที่ 539-6-01276-5</t>
  </si>
  <si>
    <t xml:space="preserve">โอนเงินรายได้ ธนาคาร กรุงไทย ประเภท กระแสรายวัน เลขที่บัญชี 539-6-01276-5   เข้า ธกส. </t>
  </si>
  <si>
    <t>ประเภท ออมทรัพย์   เลขที่บัญชี 001-2-50657-8</t>
  </si>
  <si>
    <t>เลขที่........................./2552...........</t>
  </si>
  <si>
    <t xml:space="preserve">    บัญชี กระแสรายวัน กรุงไทย เลขที่ 001-2-62433-8</t>
  </si>
  <si>
    <t>เลขที่....................../2553...........</t>
  </si>
  <si>
    <t>วันที่..... 2    มีนาคม   2553.......</t>
  </si>
  <si>
    <t>ยกเลิเช็ค เลขที่  4286920-4286922   เป็นค่าเดิอนทางไปราชการเข้าร่วมงานมหกรรม " รวมพลังองค์การ</t>
  </si>
  <si>
    <t xml:space="preserve">บริหารส่วนตำบลอุทิศตนปิดทองหลังพระ"  </t>
  </si>
  <si>
    <t xml:space="preserve">โอนเงินรายได้  ธกส.ประเภทออมทรัพย์       เลขที่บัญชี  001-2-62433-876-5   เข้า ธกส. </t>
  </si>
  <si>
    <t>บัญชี กระแสรายวัน ธกส. เลขที่ 001-5-00135-1</t>
  </si>
  <si>
    <t xml:space="preserve">              บัญชี ออมทรัพย์ ธกส. เลขที่ 001-2-50657-8</t>
  </si>
  <si>
    <t xml:space="preserve">โอนเงินฝาก ธกส. ประเภท ออมทรัพย์  เลขที่บัญชี 001-2-50657-8   เข้า ธกส. ประเภท เงินฝากกระแสรายวัน  </t>
  </si>
  <si>
    <t>เลขที่......................./2552...........</t>
  </si>
  <si>
    <t>วันที่....  31   มีนาคม  2552........</t>
  </si>
  <si>
    <t>เลขที่บัญชี 001-5-00135-1 เพื่อจ่ายเช็คต่าง ๆ ประจำเดือน  มีนาคม  2552</t>
  </si>
  <si>
    <t>วันที่....  31 พฤษภาคม  2552........</t>
  </si>
  <si>
    <t>เลขที่บัญชี 001-5-00135-1 เพื่อจ่ายเช็คต่าง ๆ ประจำเดือน   พฤษภาคม  2552</t>
  </si>
  <si>
    <t>วันที่....  30  มิถุนายน  2552........</t>
  </si>
  <si>
    <t>เลขที่บัญชี 001-5-00135-1 เพื่อจ่ายเช็คต่าง ๆ ประจำเดือน   มิถุนายน  2552</t>
  </si>
  <si>
    <t>วันที่....  31  กรกฎาคม 2552........</t>
  </si>
  <si>
    <t>วันที่....  31  สิงหาคม    2552........</t>
  </si>
  <si>
    <t>เลขที่บัญชี 001-5-00135-1 เพื่อจ่ายเช็คต่าง ๆ ประจำเดือน   สิงหาคม  2552</t>
  </si>
  <si>
    <t>เลขที่..........11......./2553...........</t>
  </si>
  <si>
    <t>วันที่....  30  พฤศจิกายน    2552........</t>
  </si>
  <si>
    <t>เลขที่บัญชี 001-5-00135-1 เพื่อจ่ายเช็คต่าง ๆ ประจำเดือน   พฤศจิกายน  2552</t>
  </si>
  <si>
    <t>วันที่.... 23   กุมภาพันธ์ 2553 ........</t>
  </si>
  <si>
    <t>05</t>
  </si>
  <si>
    <t>เลขที่บัญชี 001-5-00135-1 เพื่อจ่ายเช็คต่าง ๆ ประจำเดือน   กุมภาพันธ์  2553</t>
  </si>
  <si>
    <t>องค์การบริหารส่วนตำบลท่าสาย</t>
  </si>
  <si>
    <t>รหัสบัญชี</t>
  </si>
  <si>
    <t>รายการ</t>
  </si>
  <si>
    <t>เดบิต</t>
  </si>
  <si>
    <t>เครดิต</t>
  </si>
  <si>
    <t>เงินสด</t>
  </si>
  <si>
    <t>เงินฝากคลังจังหวัด</t>
  </si>
  <si>
    <t>รายได้ค้างรับ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</si>
  <si>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</si>
  <si>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</si>
  <si>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</si>
  <si>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</si>
  <si>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</si>
  <si>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</si>
  <si>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งบกลาง</t>
  </si>
  <si>
    <t>เงินสะสม</t>
  </si>
  <si>
    <t>เงินรับฝาก</t>
  </si>
  <si>
    <t>000</t>
  </si>
  <si>
    <t>จำนวนเงิน</t>
  </si>
  <si>
    <t>-</t>
  </si>
  <si>
    <t>บาท</t>
  </si>
  <si>
    <t>รายจ่ายค้างจ่าย</t>
  </si>
  <si>
    <t>ค่าจ้างชั่วคราว</t>
  </si>
  <si>
    <t>090</t>
  </si>
  <si>
    <t xml:space="preserve">อำเภอเมือง จังหวัดเชียงราย   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</si>
  <si>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</si>
  <si>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</si>
  <si>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</si>
  <si>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</si>
  <si>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</si>
  <si>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</si>
  <si>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</si>
  <si>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ค่าธรรมเนียมค่าปรับและใบอนุญาต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</si>
  <si>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</si>
  <si>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</si>
  <si>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</si>
  <si>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เงินอุดหนุนรัฐบาล</t>
  </si>
  <si>
    <t>0100</t>
  </si>
  <si>
    <t>0120</t>
  </si>
  <si>
    <t>0200</t>
  </si>
  <si>
    <t>0300</t>
  </si>
  <si>
    <t>1000</t>
  </si>
  <si>
    <t>2000</t>
  </si>
  <si>
    <t>รวมรายรับ</t>
  </si>
  <si>
    <t>รายจ่าย</t>
  </si>
  <si>
    <t>ค่าครุภัณฑ์</t>
  </si>
  <si>
    <t>ค่าที่ดินและสิ่งก่อสร้าง</t>
  </si>
  <si>
    <t>ลูกหนี้เงินยืมเงินงบประมาณ</t>
  </si>
  <si>
    <t>ลูกหนี้เงินยืมเงินสะสม</t>
  </si>
  <si>
    <t>ยอดยกไป</t>
  </si>
  <si>
    <t>รวม</t>
  </si>
  <si>
    <t>ลำดับ</t>
  </si>
  <si>
    <t>เบิกจ่ายแล้ว</t>
  </si>
  <si>
    <t>คงเหลือ</t>
  </si>
  <si>
    <t>รับ</t>
  </si>
  <si>
    <t>จ่าย</t>
  </si>
  <si>
    <t>รวมรายจ่าย</t>
  </si>
  <si>
    <t>สูงกว่า</t>
  </si>
  <si>
    <t xml:space="preserve"> -</t>
  </si>
  <si>
    <r>
      <t xml:space="preserve">รายรับ </t>
    </r>
    <r>
      <rPr>
        <b/>
        <sz val="15"/>
        <rFont val="AngsanaUPC"/>
        <family val="1"/>
      </rPr>
      <t xml:space="preserve"> </t>
    </r>
  </si>
  <si>
    <t>900</t>
  </si>
  <si>
    <t>ต่ำกว่า</t>
  </si>
  <si>
    <t xml:space="preserve"> - 2 - </t>
  </si>
  <si>
    <t>เงินฝาก ธ. กรุงไทย  ออมทรัพย์  504-0-23040-0</t>
  </si>
  <si>
    <t>เงินฝาก ธ.กรุงไทย กระแสรายวัน  539-6-01276-5</t>
  </si>
  <si>
    <t>เงินฝาก ธกส.  ออมทรัพย์ 001-2-50657-8</t>
  </si>
  <si>
    <t>เงินฝาก ธกส.  ออมทรัพย์ 001-2-62433-8</t>
  </si>
  <si>
    <t>เงินฝาก ธกส.  ฝากประจำ 001-4-10325-7</t>
  </si>
  <si>
    <t>หมวด / ประเภท</t>
  </si>
  <si>
    <t>รายละเอียดลูกหนี้เงินยืมเงินงบประมาณ</t>
  </si>
  <si>
    <t>เงินฝาก ธกส. กระแสรายวัน  001-5-00459-5</t>
  </si>
  <si>
    <t>บัญชีทุนสำรองเงินสะสม</t>
  </si>
  <si>
    <t>ยกมา</t>
  </si>
  <si>
    <t>ค่าใช้จ่ายการจัดเก็บภาษีบำรุงท้องที่ 5%</t>
  </si>
  <si>
    <t>บัญชีทุนเศรษฐกิจชุมชน บัญชี 2</t>
  </si>
  <si>
    <t>เงินประกันสัญญา</t>
  </si>
  <si>
    <t>ส่วนลดการจัดเก็บภาษีบำรุงท้องที่ 6%</t>
  </si>
  <si>
    <t xml:space="preserve">ค่าครุภัณฑ์                                                      </t>
  </si>
  <si>
    <t>เงินฝาก ธกส. กระแสรายวัน 001-5-00135-1</t>
  </si>
  <si>
    <t>รายรับ</t>
  </si>
  <si>
    <t>หัก</t>
  </si>
  <si>
    <t>เงินรายรับ</t>
  </si>
  <si>
    <t xml:space="preserve"> (หมายเหตุ  1 )</t>
  </si>
  <si>
    <t>เงินรับฝาก  ภาษีบำรุงท้องที่</t>
  </si>
  <si>
    <t xml:space="preserve"> </t>
  </si>
  <si>
    <t xml:space="preserve">(ลงชื่อ)                                                                             (ลงชื่อ)  จ.ส.ท.                                                                                 (ลงชื่อ)      </t>
  </si>
  <si>
    <t xml:space="preserve">                       (นางจันทรา  สุภาวสิทธิ์)                                                           (สมชาย  มะรินทร์)                                                                         (นายสมัย  รัตนจันทร์)</t>
  </si>
  <si>
    <t xml:space="preserve">                           หัวหน้าส่วนการคลัง                                                ปลัดองค์การบริหารส่วนตำบลท่าสาย                                              นายกองค์การบริหารส่วนตำบลท่าสาย</t>
  </si>
  <si>
    <t xml:space="preserve">                       หัวหน้าส่วนการคลัง                      ปลัดองค์การบริหารส่วนตำบลท่าสาย          นายกองค์การบริหารส่วนตำบลท่าสาย</t>
  </si>
  <si>
    <t>รายจ่ายอื่น</t>
  </si>
  <si>
    <t>รายละเอียดลูกหนี้เงินยืมเงินสะสม</t>
  </si>
  <si>
    <t>รวมทั้งสิ้น</t>
  </si>
  <si>
    <t>ชื่อ</t>
  </si>
  <si>
    <t xml:space="preserve">                       หัวหน้าส่วนการคลัง                           รักษาราชการแทนปลัดอบต.ท่าสาย           นายกองค์การบริหารส่วนตำบลท่าสาย</t>
  </si>
  <si>
    <t xml:space="preserve">                    ( นางจันทรา   สุภาวสิทธิ์ )                             ( สมชาย  มะรินทร์ )                                 ( นายสมัย   รัตนจันทร์ )</t>
  </si>
  <si>
    <t xml:space="preserve">(ลงชื่อ)                                                                             (ลงชื่อ)                                                                                      (ลงชื่อ)      </t>
  </si>
  <si>
    <t xml:space="preserve">                       (นางจันทรา  สุภาวสิทธิ์)                                                           (นางเข็มทอง  สุวรรณจักร)                                                                   (นายสมัย  รัตนจันทร์)</t>
  </si>
  <si>
    <t xml:space="preserve">                           หัวหน้าส่วนการคลัง                                                   รักษาราชการแทนปลัดอบต.ท่าสาย                                                 นายกองค์การบริหารส่วนตำบลท่าสาย</t>
  </si>
  <si>
    <t xml:space="preserve">                    ( นางจันทรา   สุภาวสิทธิ์ )                           ( นางเข็มทอง  สุวรรณจักร )                           ( นายสมัย   รัตนจันทร์ )</t>
  </si>
  <si>
    <t xml:space="preserve">    (ลงชื่อ)                                                             (ลงชื่อ)                                                          (ลงชื่อ)</t>
  </si>
  <si>
    <t xml:space="preserve">    (ลงชื่อ)                                                               (ลงชื่อ) จ.ส.ท.                                         (ลงชื่อ)</t>
  </si>
  <si>
    <t xml:space="preserve"> องค์การบริหารส่วนตำบลท่าสาย</t>
  </si>
  <si>
    <t xml:space="preserve">         องค์การบริหารส่วนตำบลท่าสาย</t>
  </si>
  <si>
    <t>ธนาคาร ธกส.   สาขา เชียงราย</t>
  </si>
  <si>
    <t>งบกระทบยอดเงินฝากธนาคาร</t>
  </si>
  <si>
    <t>เลขที่บัญชี  001-2-50657-8</t>
  </si>
  <si>
    <t xml:space="preserve">บวก:   </t>
  </si>
  <si>
    <t>เลขที่เช็ค</t>
  </si>
  <si>
    <t>หัก:  เช็คจ่ายที่ผู้รับยังไม่นำมาขึ้นเงินกับธนาคาร</t>
  </si>
  <si>
    <t>ตามเอกสารแนบ</t>
  </si>
  <si>
    <t>4   กรกฎาคม 2550</t>
  </si>
  <si>
    <t>2395928</t>
  </si>
  <si>
    <t>25   กรกฎาคม 2550</t>
  </si>
  <si>
    <t>2395989</t>
  </si>
  <si>
    <t>1   สิงหาคม 2550</t>
  </si>
  <si>
    <t>2396028</t>
  </si>
  <si>
    <t>3   สิงหาคม 2550</t>
  </si>
  <si>
    <t>2396039</t>
  </si>
  <si>
    <t>2396040</t>
  </si>
  <si>
    <t>10   สิงหาคม 2550</t>
  </si>
  <si>
    <t>2680509</t>
  </si>
  <si>
    <t>2680516</t>
  </si>
  <si>
    <t>24   สิงหาคม 2550</t>
  </si>
  <si>
    <t>2680550</t>
  </si>
  <si>
    <t>หัก  รายการกระทบยอดอื่นๆ</t>
  </si>
  <si>
    <t>ผู้จัดทำ                                                                                                      ผู้ตรวจสอบ</t>
  </si>
  <si>
    <t>ลงชื่อ…………….……….วันที่………………..                       ลงชื่อ…………….……….วันที่……………….</t>
  </si>
  <si>
    <t xml:space="preserve">          (นางสาวเพียรทอง  คำทอง)                                                                        (นางจันทรา  สุภาวสิทธิ์)</t>
  </si>
  <si>
    <t>ธนาคาร กรุงไทย  สาขาห้าแยกพ่อขุน</t>
  </si>
  <si>
    <t>ประเภท   กระแสรายวัน</t>
  </si>
  <si>
    <t>เลขที่บัญชี  539 - 6 - 01276 - 5</t>
  </si>
  <si>
    <t>เช็คลงวันที่</t>
  </si>
  <si>
    <t>รายการที่โอนเข้าบัญชี  ยังไม่ทราบว่าเป็นรายรับประเภทใด</t>
  </si>
  <si>
    <t>รายละเอียดเช็คที่ยังไม่ได้นำมาขึ้นเงิน</t>
  </si>
  <si>
    <t>เป็นเงินทั้งสิ้น</t>
  </si>
  <si>
    <t>เลขที่สัญญา</t>
  </si>
  <si>
    <t>เงินยืม</t>
  </si>
  <si>
    <t xml:space="preserve">รายรับ  </t>
  </si>
  <si>
    <t>เงินฝาก ธ. กรุงไทย ประจำ  539-2-04870-6</t>
  </si>
  <si>
    <t>เงินรับฝาก  บุคคลากรถ่ายโอน</t>
  </si>
  <si>
    <t>1. หายอดเงินสะสมจากงบแสดงฐานะการเงิน</t>
  </si>
  <si>
    <t>บัญชีรายได้ค้างรับ (ลูกหนี้ภาษีค้างชำระ)</t>
  </si>
  <si>
    <t xml:space="preserve">   ยอดเงินสะสมที่นำไปใช้ได้</t>
  </si>
  <si>
    <t>2. พิสูจน์ยอดเงินสะสมจากบัญชีเงินสดและเงินฝาก</t>
  </si>
  <si>
    <t>บัญชี(เงินรายรับ-รายจ่าย)</t>
  </si>
  <si>
    <t>บัญชีเงินรับฝากต่าง ๆ</t>
  </si>
  <si>
    <t xml:space="preserve"> องค์การบริหารส่วนตำบลท่าสายมีเงินสะสมที่จะนำไปบริหารได้ ดังนี้</t>
  </si>
  <si>
    <t>ยอดเงินสะสมที่นำไปใช้ได้</t>
  </si>
  <si>
    <t>คงเหลือเงินสะสมที่นำไปใช้ได้</t>
  </si>
  <si>
    <t>กระดาษทำการกระทบยอด (จ่ายจากเงินรายรับ)</t>
  </si>
  <si>
    <t>งบประมาณรายจ่าย</t>
  </si>
  <si>
    <t>แผนงาน / งาน</t>
  </si>
  <si>
    <t>00110</t>
  </si>
  <si>
    <t>00210</t>
  </si>
  <si>
    <t>00220</t>
  </si>
  <si>
    <t>00230</t>
  </si>
  <si>
    <t>00240</t>
  </si>
  <si>
    <t>00250</t>
  </si>
  <si>
    <t>00260</t>
  </si>
  <si>
    <t>00410</t>
  </si>
  <si>
    <t>หมวด / ประเภทรายจ่าย</t>
  </si>
  <si>
    <t>00111</t>
  </si>
  <si>
    <t>00113</t>
  </si>
  <si>
    <t>00211</t>
  </si>
  <si>
    <t>00212</t>
  </si>
  <si>
    <t>00221</t>
  </si>
  <si>
    <t>00223</t>
  </si>
  <si>
    <t>00232</t>
  </si>
  <si>
    <t>00241</t>
  </si>
  <si>
    <t>00242</t>
  </si>
  <si>
    <t>00244</t>
  </si>
  <si>
    <t>00252</t>
  </si>
  <si>
    <t>00262</t>
  </si>
  <si>
    <t>00263</t>
  </si>
  <si>
    <t>00411</t>
  </si>
  <si>
    <t xml:space="preserve">     101  ผู้บริหาร</t>
  </si>
  <si>
    <t xml:space="preserve">     102  พนักงาน</t>
  </si>
  <si>
    <t xml:space="preserve">     103  เงินเพิ่มต่าง ๆ</t>
  </si>
  <si>
    <t xml:space="preserve">     105  เงินประจำตำแหน่ง</t>
  </si>
  <si>
    <t xml:space="preserve">     106  ค่าตอบแทนเลขานุการนายก</t>
  </si>
  <si>
    <t>รวมเดือนนี้</t>
  </si>
  <si>
    <t>รวมตั้งแต่ต้นปี</t>
  </si>
  <si>
    <t xml:space="preserve">     131  ค่าจ้างลูกจ้างชั่วคราว</t>
  </si>
  <si>
    <t xml:space="preserve">     201  ค่าตอบแทนคณะผู้บริหารและสมาชิกสภา</t>
  </si>
  <si>
    <t xml:space="preserve">     203  ผู้ปฎิบัติราชการอันเป็นประโยชน์แก่อปท.</t>
  </si>
  <si>
    <t xml:space="preserve">     204  ค่าเบี้ยประชุม</t>
  </si>
  <si>
    <t xml:space="preserve">     205  ค่าตอบแทนการปฎิบัติงานนอกเวลาราชการ</t>
  </si>
  <si>
    <t xml:space="preserve">     206  ค่าเช่าบ้าน</t>
  </si>
  <si>
    <t xml:space="preserve">     207  เงินช่วยเหลือการศึกษาบุตร</t>
  </si>
  <si>
    <t xml:space="preserve">     208  เงินช่วยเหลือค่ารักษาพยาบาล</t>
  </si>
  <si>
    <t xml:space="preserve">     209  เงินช่วยเหลือบุตร</t>
  </si>
  <si>
    <t xml:space="preserve">     251  เพื่อให้ได้ซึ่งบริการ</t>
  </si>
  <si>
    <t xml:space="preserve">     252  บำรุงรักษาและซ่อมแซมทรัพย์สิน</t>
  </si>
  <si>
    <t xml:space="preserve">     253  รายจ่ายค่ารับรองและพิธีการ</t>
  </si>
  <si>
    <t xml:space="preserve">     254  รายจ่ายที่ไม่เข้าลักษณะรายจ่ายหมวดอื่น ๆ</t>
  </si>
  <si>
    <t xml:space="preserve">  - 2 -</t>
  </si>
  <si>
    <t xml:space="preserve">     270   วัสดุดับเพลิง</t>
  </si>
  <si>
    <t xml:space="preserve">     271   วัสดุสำนักงาน</t>
  </si>
  <si>
    <t xml:space="preserve">     272   วัสดุไฟฟ้าและวิทยุ</t>
  </si>
  <si>
    <t xml:space="preserve">     273   วัสดุงานบ้านงานครัว</t>
  </si>
  <si>
    <t xml:space="preserve">     274   วัสดุก่อสร้าง</t>
  </si>
  <si>
    <t xml:space="preserve">     276   วัสดุเชื้อเพลิงและหล่อลื่น</t>
  </si>
  <si>
    <t xml:space="preserve">     277   วัสดุวิทยาศาสตร์หรือการแพทย์</t>
  </si>
  <si>
    <t xml:space="preserve">     278   วัสดุการเกษตร</t>
  </si>
  <si>
    <t xml:space="preserve">     279   วัสดุโฆษณาและเผยแพร่</t>
  </si>
  <si>
    <t xml:space="preserve">     280   วัสดุเครื่องแต่งกาย</t>
  </si>
  <si>
    <t xml:space="preserve">     281   วัสดุกีฬา</t>
  </si>
  <si>
    <t xml:space="preserve">     282   วัสดุคอมพิวเตอร์</t>
  </si>
  <si>
    <t xml:space="preserve">     301   ค่าไฟฟ้า</t>
  </si>
  <si>
    <t xml:space="preserve">     302    ค่าน้ำประปา</t>
  </si>
  <si>
    <t xml:space="preserve">     303    ค่าโทรศัพท์</t>
  </si>
  <si>
    <t xml:space="preserve">     304   ค่าไปรษณีย์</t>
  </si>
  <si>
    <t xml:space="preserve">     402    เงินอุดหนุนองค์กรปกครองส่วนท้องถิ่นอื่น</t>
  </si>
  <si>
    <t xml:space="preserve">     403    เงินอุดหนุนส่วนราชการ เอกชนหรือ</t>
  </si>
  <si>
    <t xml:space="preserve">                กิจการอันเป็นสาธารณประโยชน์</t>
  </si>
  <si>
    <t xml:space="preserve">  - 3 -</t>
  </si>
  <si>
    <t>9.  ค่าครุภัณฑ์   450</t>
  </si>
  <si>
    <t xml:space="preserve">     451    สำนักงาน</t>
  </si>
  <si>
    <t xml:space="preserve">     452     การศึกษา</t>
  </si>
  <si>
    <t xml:space="preserve">     453     ยานพาหนะและขนส่ง</t>
  </si>
  <si>
    <t xml:space="preserve">     454     การเกษตร</t>
  </si>
  <si>
    <t xml:space="preserve">     455     ก่อสร้าง</t>
  </si>
  <si>
    <t xml:space="preserve">     456     ไฟฟ้าและวิทยุ</t>
  </si>
  <si>
    <t xml:space="preserve">     457     โฆษณาและเผยแพร่</t>
  </si>
  <si>
    <t xml:space="preserve">     458     วิทยาศาสตร์หรือการแพทย์</t>
  </si>
  <si>
    <t xml:space="preserve">     459     งานบ้านงานครัว</t>
  </si>
  <si>
    <t xml:space="preserve">     461     เครื่องดับเพลิง</t>
  </si>
  <si>
    <t xml:space="preserve">     462     คอมพิวเตอร์</t>
  </si>
  <si>
    <t>10.  ที่ดินและสิ่งก่อสร้าง      500</t>
  </si>
  <si>
    <t>11. รายจ่ายอื่น ๆ       550</t>
  </si>
  <si>
    <t>12.  งบกลาง       000</t>
  </si>
  <si>
    <t xml:space="preserve">     002     รายจ่ายตามข้อผูกพัน</t>
  </si>
  <si>
    <t xml:space="preserve">     003     เงินสบทบ ก.บ.ท.</t>
  </si>
  <si>
    <t xml:space="preserve">     004     เงินสำรองจ่าย</t>
  </si>
  <si>
    <t>1.  เงินเดือน  100  (ยอดยกมา)</t>
  </si>
  <si>
    <t>3.  ค่าจ้างชั่วคราว 130  (ยอดยกมา)</t>
  </si>
  <si>
    <t>4.  ค่าตอบแทน  200   (ยอดยกมา)</t>
  </si>
  <si>
    <t>5.  ค่าใช้สอย    250  (ยอดยกมา)</t>
  </si>
  <si>
    <t>6.  ค่าวัสดุ      270  (ยอดยกมา)</t>
  </si>
  <si>
    <t>7.  ค่าสาธารณูปโภค     300  (ยอดยกมา)</t>
  </si>
  <si>
    <t>และเงินยืมต่าง ๆ</t>
  </si>
  <si>
    <t xml:space="preserve">     107  ฝ่ายการเมือง</t>
  </si>
  <si>
    <t>8.  เงินอุดหนุน     400  (ยอดยกมา)</t>
  </si>
  <si>
    <t>เลขที่บัญชี  504-023040-0</t>
  </si>
  <si>
    <t>ธนาคาร กรุงไทย   สาขา เชียงราย</t>
  </si>
  <si>
    <t>00320</t>
  </si>
  <si>
    <t>00322</t>
  </si>
  <si>
    <t xml:space="preserve">เงินฝากระหว่างทาง </t>
  </si>
  <si>
    <t xml:space="preserve">     005     เบี้ยยังชีพ</t>
  </si>
  <si>
    <t>เลขที่บัญชี  001-2-62433-8</t>
  </si>
  <si>
    <t>รายการที่โอนเข้าบัญชี  ยังไม่ทราบว่าเป็นรายรับ</t>
  </si>
  <si>
    <t xml:space="preserve">     275   วัสดุยานพาหนะและขนส่ง</t>
  </si>
  <si>
    <t>ทุนสำรองเงินสะสม</t>
  </si>
  <si>
    <t>เงินรับฝาก  สถานีสูบน้ำด้วยไฟฟ้า</t>
  </si>
  <si>
    <t xml:space="preserve">      283  วัสดุศึกษา</t>
  </si>
  <si>
    <t>เงินฝากระหว่างทาง</t>
  </si>
  <si>
    <t>553  ค่าจ้างที่ปรึกษาฯ</t>
  </si>
  <si>
    <t>เพื่อใช้ในกรณีฉุกเฉิน,สิทธิประโยชน์ผู้บริหาร สมาชิกอบต. พนักงาน ลูกจ้าง</t>
  </si>
  <si>
    <t>110100</t>
  </si>
  <si>
    <t>120100</t>
  </si>
  <si>
    <t>110203</t>
  </si>
  <si>
    <t>110201</t>
  </si>
  <si>
    <t>110202</t>
  </si>
  <si>
    <t>5510000</t>
  </si>
  <si>
    <t>6510000</t>
  </si>
  <si>
    <t>5520000</t>
  </si>
  <si>
    <t>5220600</t>
  </si>
  <si>
    <t>622600</t>
  </si>
  <si>
    <t>5531000</t>
  </si>
  <si>
    <t>5532000</t>
  </si>
  <si>
    <t>653200</t>
  </si>
  <si>
    <t>5533000</t>
  </si>
  <si>
    <t>5534000</t>
  </si>
  <si>
    <t>5561000</t>
  </si>
  <si>
    <t>5541000</t>
  </si>
  <si>
    <t>110300</t>
  </si>
  <si>
    <t>300000</t>
  </si>
  <si>
    <t>320000</t>
  </si>
  <si>
    <t>รายจ่ายรอจ่าย</t>
  </si>
  <si>
    <t>ค่าตอบแทนผู้ปฏิบัติราชการอันเป็นประโยชน์แก่ อปท.(เงินโบนัส)</t>
  </si>
  <si>
    <t xml:space="preserve">  </t>
  </si>
  <si>
    <t xml:space="preserve">     463     ค่าบำรุงรักษาและปรับปรุงครุภัณฑ์</t>
  </si>
  <si>
    <t>554  การบริการสถานศึกษาสนับสนุนค่าใช้จ่าย</t>
  </si>
  <si>
    <t xml:space="preserve"> 555  โครงการผลิตกระดาษเยื่อสบู่ดำฯ</t>
  </si>
  <si>
    <t>7551000</t>
  </si>
  <si>
    <t>เลขที่บัญชี  001-4-10325-7</t>
  </si>
  <si>
    <t>รายได้ไม่ทราบแหล่งที่มา</t>
  </si>
  <si>
    <t xml:space="preserve"> 556  รายจ่ายอื่น</t>
  </si>
  <si>
    <t>ใบผ่านรายการบัญชีมาตรฐาน 2</t>
  </si>
  <si>
    <t>ฝ่าย     การเงินและบัญชี    อบต.ท่าสาย</t>
  </si>
  <si>
    <t>เดบิท</t>
  </si>
  <si>
    <t>ลูกหนี้ - เงินยืมงบประมาณ</t>
  </si>
  <si>
    <t xml:space="preserve">เงินรับฝาก - เงินสวัสดิการฯ ธ.กรุงไทย </t>
  </si>
  <si>
    <t>เงินรับฝาก - เงินสวัสดิการฯ ธอส.</t>
  </si>
  <si>
    <t>เงินรับฝาก - ค่าหุ้นสหกรณ์กรมส่งเสริมฯ</t>
  </si>
  <si>
    <t>ผู้จัดทำ                                       ผู้อนุมัติ                                                    ผู้บันทึกบัญชี</t>
  </si>
  <si>
    <t>เงินรับฝาก - เงินสวัสดิการฯ ธกส.</t>
  </si>
  <si>
    <t>ใบผ่านรายการบัญชีทั่วไป</t>
  </si>
  <si>
    <r>
      <t>คำอธิบาย</t>
    </r>
    <r>
      <rPr>
        <sz val="15"/>
        <rFont val="Angsana New"/>
        <family val="1"/>
      </rPr>
      <t xml:space="preserve">   </t>
    </r>
  </si>
  <si>
    <t xml:space="preserve">       ผู้จัดทำ                                                           ผู้อนุมัติ                                                               ผู้บันทึกบัญชี</t>
  </si>
  <si>
    <t>5000</t>
  </si>
  <si>
    <t>6000</t>
  </si>
  <si>
    <t>5100</t>
  </si>
  <si>
    <t>6250</t>
  </si>
  <si>
    <t>704</t>
  </si>
  <si>
    <t>หัก  เช็คฝากระหว่างทาง</t>
  </si>
  <si>
    <t xml:space="preserve">ภาษีหัก ณ ที่จ่าย </t>
  </si>
  <si>
    <t>ค้าจ้าง</t>
  </si>
  <si>
    <t>เงินรับฝาก - ภาษีหัก ณ ที่จ่าย</t>
  </si>
  <si>
    <t>โครงการต่อเติมอาคารจอดรถ</t>
  </si>
  <si>
    <t>โครงการห้องน้ำสาธารณะ</t>
  </si>
  <si>
    <t>เลขที่บัญชี 001-5-00135-1 เพื่อจ่ายเช็คต่าง ๆ ประจำเดือน   กรกฎาคม  2553</t>
  </si>
  <si>
    <t>ลูกหนี้ - เงินยืมสะสม</t>
  </si>
  <si>
    <t xml:space="preserve"> (หมายเหตุ  2 )</t>
  </si>
  <si>
    <t>5250</t>
  </si>
  <si>
    <t>5130</t>
  </si>
  <si>
    <t xml:space="preserve"> บัญชีเงินฝาก เลขที่บัญชี  001-5-00135-1</t>
  </si>
  <si>
    <t>เลขที่................................/2552...........</t>
  </si>
  <si>
    <t xml:space="preserve"> วันที่..... 30     กันยายน     2552..........</t>
  </si>
  <si>
    <t>700</t>
  </si>
  <si>
    <r>
      <t>คำอธิบาย</t>
    </r>
    <r>
      <rPr>
        <sz val="16"/>
        <rFont val="Angsana New"/>
        <family val="1"/>
      </rPr>
      <t xml:space="preserve">   </t>
    </r>
  </si>
  <si>
    <t>ปรับปรุงรายได้ค้างรับ ( บัญชีลูกหนี้ภาษีค้างชำระ )  ประจำปีงบประมาณ พ.ศ.  2551</t>
  </si>
  <si>
    <t>บันทึกบัญชีลูกหนี้ภาษีค้างชำระปี  2552</t>
  </si>
  <si>
    <t>5200</t>
  </si>
  <si>
    <t>5270</t>
  </si>
  <si>
    <t>6270</t>
  </si>
  <si>
    <t xml:space="preserve">รายจ่ายค้างจ่าย </t>
  </si>
  <si>
    <t>ปิดบัญชีค่าใช้จ่ายที่ก่อหนี้ผูกพันแล้ว แต่ไม่สามารถเบิกจ่ายได้ทันในปีงบประมาณตามระเบียบฯ</t>
  </si>
  <si>
    <t xml:space="preserve">การกันเงินข้อ 57  และค่าใช้จ่ายรอจ่าย  ตามหนังสือกรมส่งเสริมการปกครองท้องถิ่น ด่วนมาก  </t>
  </si>
  <si>
    <t>ที่ มท. 0808.4/ว.1934  ลงวันที่  27  กันยายน  2548  เรื่อง ซักซ้อมแนวทางการปฏิบัติเกี่ยวกับการบันทึกบัญชี</t>
  </si>
  <si>
    <t>ขององค์กรปกครองส่วนท้องถิ่น</t>
  </si>
  <si>
    <t xml:space="preserve">ปิดบัญชีรายรับ - รายจ่าย เข้าบัญชีทุนสำรองเงินสะสม และบัญชีเงินสะสม </t>
  </si>
  <si>
    <t>( 25,564,197.35 - 22,095,429.65 = 3,468,767.70 )  , (3,468,767.70  x 25%  =  867,191.93  )</t>
  </si>
  <si>
    <t>เงินรับฝาก-ภาษีบำรุงท้องที่</t>
  </si>
  <si>
    <t>เงินรับฝาก-ภาษีหัก ณ ที่จ่าย</t>
  </si>
  <si>
    <t>โครงการซื้อรถน้ำ</t>
  </si>
  <si>
    <t>งบทดลอง</t>
  </si>
  <si>
    <t xml:space="preserve">ลูกหนี้เงินยืมงบประมาณ   ( หมายเหตุ 1 )      </t>
  </si>
  <si>
    <t xml:space="preserve">ลูกหนี้เงินยืมสะสม    ( หมายเหตุ 2 )      </t>
  </si>
  <si>
    <t>เงินสะสม                  (หมายเหตุ 3)</t>
  </si>
  <si>
    <t xml:space="preserve">เงินรับฝาก                           (หมายเหตุ 4)      </t>
  </si>
  <si>
    <t>รายจ่ายรอจ่าย                    (หมายเหตุ 5)</t>
  </si>
  <si>
    <t>นายสุริยนต์</t>
  </si>
  <si>
    <t>ผางคำ</t>
  </si>
  <si>
    <t>บัณฑิต</t>
  </si>
  <si>
    <t>เงินรับฝาก  เงินอุดหนุนเฉพาะกิจ</t>
  </si>
  <si>
    <t>ลูกหนี้เงินยืมงบประมาณ</t>
  </si>
  <si>
    <t>เงินฝาก ธ. กรุงไทย  ประจำ  539-2-04870-6</t>
  </si>
  <si>
    <t xml:space="preserve">เงินสะสม                                </t>
  </si>
  <si>
    <t xml:space="preserve">รายได้ค้างรับ        </t>
  </si>
  <si>
    <t xml:space="preserve">รายจ่ายค้างจ่าย    </t>
  </si>
  <si>
    <t xml:space="preserve">รายจ่ายรอจ่าย   </t>
  </si>
  <si>
    <t xml:space="preserve">เงินรับฝาก     </t>
  </si>
  <si>
    <t>00321</t>
  </si>
  <si>
    <t>ณ  วันที่   31  ตุลาคม   2554</t>
  </si>
  <si>
    <t>บันทึกรายการบัญชีต่าง ๆ ยกมา  หลังจากปิดบัญชีงบประมาณ  2554</t>
  </si>
  <si>
    <t>เลขที่.........1.........../2555...........</t>
  </si>
  <si>
    <t>วันที่..  1  ตุลาคม      2554........</t>
  </si>
  <si>
    <t>ปีงบประมาณ 2555</t>
  </si>
  <si>
    <t xml:space="preserve">          ตำแหน่ง     นักวิชาการคลัง                                                                   ตำแหน่ง   หัวหน้าส่วนการคลัง</t>
  </si>
  <si>
    <t>รายงานยอดเงินสะสมที่นำไปใช้ได้คงเหลือ ณ  วันที่   31  ตุลาคม  2554</t>
  </si>
  <si>
    <t>ยอดเงินสะสม ณ วันที่  31  ตุลาคม  2554</t>
  </si>
  <si>
    <t>ยอดเงินสดและเงินฝากธนาคาร ณ วันที่  31  ตุลาคม  2554</t>
  </si>
  <si>
    <t xml:space="preserve">          ตำแหน่ง     นักวิชาการคลัง                                                                   ตำแหน่ง   หัวหน้าส่วนการคลัง             </t>
  </si>
  <si>
    <t xml:space="preserve">         ตำแหน่ง     นักวิชาการคลัง                                                                   ตำแหน่ง   หัวหน้าส่วนการคลัง</t>
  </si>
  <si>
    <t xml:space="preserve">            ตำแหน่ง     นักวิชาการคลัง                                                                ตำแหน่ง   หัวหน้าส่วนการคลัง</t>
  </si>
  <si>
    <t>เงินฝาก ธกส.  ออมทรัพย์ 001-8-09841-8</t>
  </si>
  <si>
    <t>เลขที่...................../2555...........</t>
  </si>
  <si>
    <t>ใบผ่านรายการบัญชีมาตรฐาน 1</t>
  </si>
  <si>
    <t>บัญชี 001-2-50657-8</t>
  </si>
  <si>
    <t>บัญชี 539-6-01276-5</t>
  </si>
  <si>
    <t>บัญชี 001-4-10325-7</t>
  </si>
  <si>
    <t>บัญชี 001-2-62433-8</t>
  </si>
  <si>
    <t>เงินรับฝาก- 5%</t>
  </si>
  <si>
    <t>เงินรับฝาก-ค่าใช้จ่าย  6%</t>
  </si>
  <si>
    <t>เงินรับฝาก-เงินค้ำประกันสัญญา</t>
  </si>
  <si>
    <t>เงินรับฝาก-เงินกู้เศรษฐกิขชุมชน</t>
  </si>
  <si>
    <t>ใบผ่านรายการบัญชีมาตรฐาน  3</t>
  </si>
  <si>
    <t>ค่าธน.เก็บขนขยะมูลฝอย</t>
  </si>
  <si>
    <t>ค่าปรับอื่น ๆ</t>
  </si>
  <si>
    <t>วันที่..31  ตุลาคม  2554.....</t>
  </si>
  <si>
    <t>เลขที่.....01/10/2554...........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</si>
  <si>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ตุลาคม  2554</t>
    </r>
  </si>
  <si>
    <t>บัญชี 001-8-09841-8</t>
  </si>
  <si>
    <t>เงินรายรับ-เงินอุดหนุนเฉพาะกิจ</t>
  </si>
  <si>
    <t>(เบี้ยยังชีพพิการและเบี้ยยังชีพผู้สูงอายุ)</t>
  </si>
  <si>
    <t>เงินรับฝาก-ค้าจ้างประจำ(ลูกจ้างสถานีสูบน้ำฯ)</t>
  </si>
  <si>
    <t>เงินรับฝาก-ค่ารักษาพยาบาล(ลูกจ้างสถานีสูบน้ำฯ)</t>
  </si>
  <si>
    <t>เงินรับฝาก-เงินบำนาญฯ(นางอุไร  ศึกษากิจ)</t>
  </si>
  <si>
    <t>ลูหนี้-เงินสะสม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</si>
  <si>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พฤศจิกายน  2554</t>
    </r>
  </si>
  <si>
    <t>วันที่ 30 พฤศจิกายน  2554..</t>
  </si>
  <si>
    <t>วันที่ 31 ธันวาคม  2554..</t>
  </si>
  <si>
    <t>เลขที่.........01/11/2554...........</t>
  </si>
  <si>
    <t>วันที่ 31 มกราคม  2555..</t>
  </si>
  <si>
    <t>เลขที่...01/01/2555.........</t>
  </si>
  <si>
    <t>ลูหนี้-เงินยืมงบประมาณ</t>
  </si>
  <si>
    <t>เงินรับฝาก-ค่าไฟฟ้าสถานีสูบน้ำด้วยไฟฟ้าฯ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</si>
  <si>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ธันวาคม  2554</t>
    </r>
  </si>
  <si>
    <t>เลขที่...01/12/2555.........</t>
  </si>
  <si>
    <t>บัญชี 504-0-23040-0</t>
  </si>
  <si>
    <t>(โครงการก่อสร้างถนนลาดยางฯ)</t>
  </si>
  <si>
    <t>ลูหนี้-เงินยืมสะสม</t>
  </si>
  <si>
    <t>เงินรับฝาก-รถรับส่งนักเรียน</t>
  </si>
  <si>
    <t>เงินรับฝาก-เงินกู้เศรษฐกิจชุมชน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</si>
  <si>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 มกราคม  2555</t>
    </r>
  </si>
  <si>
    <t xml:space="preserve">               ผู้จัดทำ                                                ผู้อนุมัติ                                                      ผู้บันทึกบัญชี</t>
  </si>
  <si>
    <t>เงินฝาก ธกส.ออมทรัพย์ 0001-8-9841-8</t>
  </si>
  <si>
    <t>เงินรายรับ-เงินอุหนุนเฉพาะกิจ</t>
  </si>
  <si>
    <t>ธันวาคม</t>
  </si>
  <si>
    <t>4/2555</t>
  </si>
  <si>
    <t>เป็นเงินยืมค่าเบี้ยยังชีพ</t>
  </si>
  <si>
    <t>5/2555</t>
  </si>
  <si>
    <t>( 19 ธ.ค. 54 )</t>
  </si>
  <si>
    <t>น.ส.ยุพิน</t>
  </si>
  <si>
    <t>ศาลารักษ์</t>
  </si>
  <si>
    <t>เป็นเงินยืมเงินเดือน ผดด</t>
  </si>
  <si>
    <t>เป็นเงินยืมค่าจ้าง ผดด</t>
  </si>
  <si>
    <t>น.ส. กิตติวรรณ</t>
  </si>
  <si>
    <t>จันต๊ะคาด</t>
  </si>
  <si>
    <t>ค่าตอบแทนรายเดือน (ผู้บริหาร/ส.อบต.)</t>
  </si>
  <si>
    <t>เบี้ยยังชีพผู้พิการ</t>
  </si>
  <si>
    <t>เบี้ยยังชีพผู้สูงอายุ</t>
  </si>
  <si>
    <t>จ่ายเบี้ยยังชีพผู้พิการ</t>
  </si>
  <si>
    <t>จ่ายเบี้ยยังชีพผู้สูงอายุ</t>
  </si>
  <si>
    <t>เงินรับฝาก  เงินรับฝากอุดหนุนเฉพาะกิจ</t>
  </si>
  <si>
    <t>(เบี้ยยังชีพผู้สูงอายุและพิการ ปี 53)</t>
  </si>
  <si>
    <t>(เบี้ยยังชีพผู้พิการ )</t>
  </si>
  <si>
    <t>(เบี้ยยังชีพผู้สูงอายุ)</t>
  </si>
  <si>
    <t>เงินรับฝาก  รถรับส่งนักเรียน (ศูนย์พัฒนาเด็กฯ)</t>
  </si>
  <si>
    <t>(ค่าจ้างผดด.)</t>
  </si>
  <si>
    <t>เบี้ยยังชีพพิการ</t>
  </si>
  <si>
    <t>ลูกหนี้เงินยืมสะสม</t>
  </si>
  <si>
    <t>(19 ม.ค.55)</t>
  </si>
  <si>
    <t>เป็นเงินยืมค่าจ้างประจำ</t>
  </si>
  <si>
    <t>9/2555</t>
  </si>
  <si>
    <t>โครงการก่อสร้างถนน คสล.  ม.6</t>
  </si>
  <si>
    <t>โครงการก่อสร้างถนน คสล.  ม.11</t>
  </si>
  <si>
    <t>โครงการก่อสร้างถนน คสล.  ม.8</t>
  </si>
  <si>
    <t>โครงการถนนไร้ฝุ่น (ถนนลาดยาง)</t>
  </si>
  <si>
    <t>โครงการถนนลาดยาง</t>
  </si>
  <si>
    <t>หัก  เงินโอนเข้าไม่ทราบแหล่งที่มา</t>
  </si>
  <si>
    <t>รายจ่ายจากเงินอุดหนุนเฉพาะกิจ</t>
  </si>
  <si>
    <t>รายจ่ายจากเงินสะสม</t>
  </si>
  <si>
    <t>รายจ่ายค้างจ่าย    ( หมายเหตุ 3)</t>
  </si>
  <si>
    <t>เงินสะสม                  (หมายเหตุ 4)</t>
  </si>
  <si>
    <t>เงินรายรับ-เงินอุหนุนเฉพาะกิจ       (หมายเหตุ 5 )</t>
  </si>
  <si>
    <t xml:space="preserve">เงินรับฝาก                           (หมายเหตุ 6)      </t>
  </si>
  <si>
    <t>รายจ่ายรอจ่าย                    (หมายเหตุ 7)</t>
  </si>
  <si>
    <t>(  หมายเหตุ  5  )</t>
  </si>
  <si>
    <t>น.ส.จันทร์เพ็ญ</t>
  </si>
  <si>
    <t>เป็นเงินยืมเงินเดือน ผดด.</t>
  </si>
  <si>
    <t>รายจ่ายที่ก่อหนี้ผูกพันไว้ในปีงบประมาณ  2554 (ข้อ 57)</t>
  </si>
  <si>
    <t>โครงการก่อสร้างพนังกั้นน้ำดินพังทลาย ม.4</t>
  </si>
  <si>
    <t>โครงการก่อสร้างอาคาร ม.9</t>
  </si>
  <si>
    <t>( หมายเหตุ 3  )</t>
  </si>
  <si>
    <t>( หมายเหตุ 7  )</t>
  </si>
  <si>
    <t>โครงการก่อสร้างรั้วและประตูศูนย์พัฒนาเด็กเล็ก อบต.ท่าสาย</t>
  </si>
  <si>
    <t>(  หมายเหตุ  4  )</t>
  </si>
  <si>
    <t>ผู้จัดทำ                                                                              ผู้ตรวจสอบ</t>
  </si>
  <si>
    <t>ลงชื่อ…………….……….วันที่………………..                               ลงชื่อ…………….……….วันที่……………….</t>
  </si>
  <si>
    <t xml:space="preserve">          (นางสาวเพียรทอง  คำทอง)                                                                                (นางจันทรา  สุภาวสิทธิ์)</t>
  </si>
  <si>
    <t xml:space="preserve">          ตำแหน่ง     นักวิชาการคลัง                                                                           ตำแหน่ง   หัวหน้าส่วนการคลัง</t>
  </si>
  <si>
    <t>เงินอุดหนุนเฉพาะกิจ (ถนนลาดยาง)</t>
  </si>
  <si>
    <t>เงินรับฝาก  ภาษีโรงเรือนและที่ดิน</t>
  </si>
  <si>
    <t>เงินรับฝาก  ชมรมปลัดฯ (โคงการอบรมวินัยฯ)</t>
  </si>
  <si>
    <t>6533000</t>
  </si>
  <si>
    <t>6534000</t>
  </si>
  <si>
    <t>โครงการก่อสร้างถนน คสล.  ม.10</t>
  </si>
  <si>
    <t>วันที่ 29  กุมภาพันธ์2555..</t>
  </si>
  <si>
    <t>เลขที่......01/02/2555.........</t>
  </si>
  <si>
    <t>(เบี้ยยังชีพพิการ)</t>
  </si>
  <si>
    <t>เงินรับฝาก-ค่าศึกษาบุตร(ลูกจ้างสถานีสูบน้ำฯ)</t>
  </si>
  <si>
    <t>เงินรับฝาก-ชมรมปลัดฯ(โครงการอบรมวินัยฯ)</t>
  </si>
  <si>
    <t>เงินรับฝาก-ภาษีโรงเรือนและที่ดิน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</si>
  <si>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กุมภาพันธ์ 2555</t>
    </r>
  </si>
  <si>
    <t xml:space="preserve">    283 อาหารเสริม(นม)</t>
  </si>
  <si>
    <t xml:space="preserve">     006     บำเหน็จ</t>
  </si>
  <si>
    <t>6130</t>
  </si>
  <si>
    <t>เงินรับฝาก -ค่าจ้างผดดและประกันสังคม</t>
  </si>
  <si>
    <t>เงินรับฝาก - รถรับส่งนักเรียน</t>
  </si>
  <si>
    <t>ภาษีโรงเรือนและที่ดิน</t>
  </si>
  <si>
    <t>ภาษีบำรงท้องที่</t>
  </si>
  <si>
    <t>ภาษีป้าย</t>
  </si>
  <si>
    <t>ค่าธน.จดทะเบียนพาณิชย์และยกเลิก</t>
  </si>
  <si>
    <t>ค่าธน.ปิดโอนมรดก</t>
  </si>
  <si>
    <t xml:space="preserve">  ผู้จัดทำ                                                    ผู้อนุมัติ                                                                    ผู้บันทึกบัญชี</t>
  </si>
  <si>
    <t>ค่าธน เกี่ยวกับควบคุมอาคาร</t>
  </si>
  <si>
    <t>เงินรับฝาก - ชมรมปลัดฯ (โครงการอบรมวินัยฯ)</t>
  </si>
  <si>
    <t>เลขที่......................../2555...........</t>
  </si>
  <si>
    <t>วันที่.. 7    กุมภาพันธ์  2555........</t>
  </si>
  <si>
    <t>ประจำเดือน  มีนาคม 2555</t>
  </si>
  <si>
    <t>วันที่ 31  มีนาคม 2555..</t>
  </si>
  <si>
    <t>เลขที่...01/03/2555........</t>
  </si>
  <si>
    <t>วันที่…31  มีนาคม 2555.....</t>
  </si>
  <si>
    <t>เลขที่......02/03/2555...........</t>
  </si>
  <si>
    <t>เงินรับฝาก- ภาษีโรงเรือนและที่ดิน</t>
  </si>
  <si>
    <t xml:space="preserve">รายจ่ายอื่น </t>
  </si>
  <si>
    <t>เงินรับฝาก - เงินบำนาญ (นางอุไร  ศึกษากิจ)</t>
  </si>
  <si>
    <t>ดอกเบี้ยเงินฝากธนาคาร</t>
  </si>
  <si>
    <t>เลขที่................./2555..........</t>
  </si>
  <si>
    <t xml:space="preserve"> วันที่...........1  มีนาคม  2555</t>
  </si>
  <si>
    <t>เงินรับฝาก - ภาษีโรงเรือนและที่ดิน</t>
  </si>
  <si>
    <t>ปรับปรุงบัญชีเงินรับฝาก-ภาษีโรงเรือนและที่ดิน เป็นเงินรับฝาก- รถรับส่งนักเรียน</t>
  </si>
  <si>
    <t>เงินรับฝาก - เงินค้ำประกันสัญญา</t>
  </si>
  <si>
    <t>ปรับปรุงบัญชีเงินรับฝาก - เงินค้ำประกันสัญญา เข้าบัญชีเงินสะสม ตามบันทึกส่วนการคลัง ที่ ชร 72602/024  ลงวันที่  21  มีนาคม  2555</t>
  </si>
  <si>
    <t xml:space="preserve"> วันที่.........21  มีนาคม  2555</t>
  </si>
  <si>
    <t>เลขที่................../2555...........</t>
  </si>
  <si>
    <t>เรื่อง  ยึดเงินหลักประกันสัญญา</t>
  </si>
  <si>
    <t xml:space="preserve"> วันที่.........12  มีนาคม  2555</t>
  </si>
  <si>
    <t>ลูกหนี้- เงินยืมงบประมาณ</t>
  </si>
  <si>
    <t>ส่งใช้เงินยืมตามสัญญาเงินยืมเลขที่  21/2555 ของนางอรัญญา  บุญตานนท์  เป็นเงินยืมค่าเดินทางงราชการเพื่อเข้าร่วมเวทีพื้นพลังชุมชน</t>
  </si>
  <si>
    <t>ท้องถิ่นสู่การอภิวัฒน์ประเทศไทย 1-3  มีนามคม  2555  ฎีกาส่งใช้เลขที่  ป.302/546</t>
  </si>
  <si>
    <t>ผู้บริหารฯ ตามฎีกาส่งใช้เลขที่ ป.303/547</t>
  </si>
  <si>
    <t xml:space="preserve">ส่งใช้เงินยืมตามสัญญาเงินยืมเลขที่  26/2555 ของนายชัยทัต  เรือนแก้ว เป็นเงินค่าลงทะเบียนเพื่อเข้าอบรมเพิ่มพูนประสิทธิภาพ           </t>
  </si>
  <si>
    <t>ผู้บริหารฯ ตามฎีกาส่งใช้เลขที่ ช.092/548</t>
  </si>
  <si>
    <t xml:space="preserve">ส่งใช้เงินยืมตามสัญญาเงินยืมเลขที่  25/2555 ของนายสวัสดิ์  ไชยประเสริฐ เป็นเงินค่าลงทะเบียนเพื่อเข้าอบรมเพิ่มพูนประสิทธิภาพ           </t>
  </si>
  <si>
    <t xml:space="preserve">ตามฎีกาส่งใช้เลขที่ </t>
  </si>
  <si>
    <t>เงินอุดหนุนเฉพาะกิจ - เบี้ยยังชีพผู้สูงอายุ</t>
  </si>
  <si>
    <t>เงินอุดหนุนเฉพาะกิจ - เบี้ยยังชีพผู้พิการ</t>
  </si>
  <si>
    <t xml:space="preserve"> - ผู้พิการ</t>
  </si>
  <si>
    <t xml:space="preserve"> - ผู้สูงอายุ</t>
  </si>
  <si>
    <t xml:space="preserve"> - ผู้ป่วยเอดส์</t>
  </si>
  <si>
    <t>ลูกหนี้- เงินยืมสะสม</t>
  </si>
  <si>
    <t>12/2555</t>
  </si>
  <si>
    <t>14/2555</t>
  </si>
  <si>
    <t>13/2555</t>
  </si>
  <si>
    <t>(18  ก.พ.55)</t>
  </si>
  <si>
    <t>(19  มี.ค.55 )</t>
  </si>
  <si>
    <t>เงินรับฝาก  การบริหารจัดการที่ดิ (รางวัล)</t>
  </si>
  <si>
    <t>เงินรับฝาก  การจัดเก็บรายได้ (รางวัล)</t>
  </si>
  <si>
    <t>เงินรับฝาก  ค่าจ้างประจำ (ลูกจ้างสถานีศูบน้ำด้วยไฟฟ้า)</t>
  </si>
  <si>
    <t>เงินรับฝาก  เงินบำนาญ (นางอุไร ศึกษากิจ)</t>
  </si>
  <si>
    <t>ยึดเงินค้ำประกันสัญญา</t>
  </si>
  <si>
    <t>ยอดคงเหลือตามรายงานธนาคาร  ณ  วันที่  30  เมษายน 2555</t>
  </si>
  <si>
    <t>ยอดคงเหลือตามบัญชี ณ วันที่   30  เมษายน  2555</t>
  </si>
  <si>
    <t>ณ  วันที่  30  เมษายน  2555</t>
  </si>
  <si>
    <t>4812405</t>
  </si>
  <si>
    <t>4812406</t>
  </si>
  <si>
    <t>4812416</t>
  </si>
  <si>
    <t>4812412</t>
  </si>
  <si>
    <t>4812417</t>
  </si>
  <si>
    <t>4812418</t>
  </si>
  <si>
    <t>4812419</t>
  </si>
  <si>
    <t>4812420</t>
  </si>
  <si>
    <t>4812421</t>
  </si>
  <si>
    <t>20  เมษายน  2555</t>
  </si>
  <si>
    <t>25  เมษายน  2555</t>
  </si>
  <si>
    <t>วันที่...... 30  เมษายน 2555...</t>
  </si>
  <si>
    <t>เลขที่บัญชี 001-5-00135-1 เพื่อจ่ายเช็คต่าง ๆ ประจำเดือน  เมษายน  2555</t>
  </si>
  <si>
    <t>วันที่.. 18  เมษายน 2555........</t>
  </si>
  <si>
    <t xml:space="preserve"> วันที่........18  เมษายน  2555</t>
  </si>
  <si>
    <t>ตามฎีกาส่งใช้เลขที่ ช1128/685</t>
  </si>
  <si>
    <t>ตามฎีกาส่งใช้เลขที่ ช.108/655</t>
  </si>
  <si>
    <t xml:space="preserve"> วันที่........26  เมษายน  2555</t>
  </si>
  <si>
    <t xml:space="preserve">ส่งใช้เงินยืมตามสัญญาเลขที่  31/2555  ของนายชัยทัต  เรือนแก้ว  เป็นเงินค่าลงทะเบียนการฝึกอบรมเพิ่มประสิทธิภาพด้านงงานช่างฯ </t>
  </si>
  <si>
    <t xml:space="preserve">ส่งใช้เงินยืมตามสัญญาเลขที่  31/2555  ของนายชัยทัต  เรือนแก้ว  เป็นเงินค่าเดินทางไปราชการฝึกอบรมเพิ่มประสิทธิภาพด้านงงานช่างฯ </t>
  </si>
  <si>
    <t>ถนนปลอดภัยร่วมใจลดอุบัติเหตุฯ ประจำปี 2555  ตามฎีกาส่งใช้เลขที่  ป.305/549</t>
  </si>
  <si>
    <t xml:space="preserve"> วันที่........5.  เมษายน  2555</t>
  </si>
  <si>
    <t>ส่งใช้เงินยืมตามสัญญาเงินยืมเลขที่  29/2555  ของนางอรัญญา  บุญตานนท์  เป็นเงินยืมค่าเดินทางไปราชการกรุงเทพฯ</t>
  </si>
  <si>
    <t>ส่งใช้เงินยืมตามสัญญาเงินยืมเลขที่  32/2555  ของนายอนันชัย  วงค์ชัยคำ  เป็นเงินยืมตามโครงการรณรงค์ขับขี่ปลอดภัย</t>
  </si>
  <si>
    <t xml:space="preserve"> วันที่........8.  เมษายน  2555</t>
  </si>
  <si>
    <t xml:space="preserve">ส่งใช้เงินยืมตามสัญญาเงินยืมเลขที่  28/2555  ของ นางสาวกาญจนา  เทศสิงห์  เป็นเงินยืมตามโครงการอบรมปฏิบัติธรรมฯ </t>
  </si>
  <si>
    <t xml:space="preserve">ส่งใช้เงินยืมตามสัญญาเงินยืมเลขที่  20/2555 ของ น.ส.จันทร์เพ็ญ  จันต๊ะคาด เป็นเงินเบี้ยยังชีพ           </t>
  </si>
  <si>
    <t>ตามฎีกาส่งใช้เลขที่</t>
  </si>
  <si>
    <t xml:space="preserve"> วันที่........24  เมษายน  2555</t>
  </si>
  <si>
    <t xml:space="preserve">เงินรับฝาก - ค่าจ้างและประกันสังคม ผดด </t>
  </si>
  <si>
    <t>ส่งใช้เงินยืมตามสัญญาเงินยืมเลขที่  6/2555 ของนางสาวกิตติวรรณ   บัณฑิต  เป็นเงินยืมค่าจ้างผดด</t>
  </si>
  <si>
    <t xml:space="preserve"> วันที่........17  เมษายน  2555</t>
  </si>
  <si>
    <t>ส่งใช้เงินยืมตามสัญญาเงินยืมเลขที่  10/2555 ของนางสาวกิตติวรรณ   บัณฑิต  เป็นเงินยืมค่าจ้างผดด</t>
  </si>
  <si>
    <t>บัญชี 001-8-9841-8</t>
  </si>
  <si>
    <t>บัญชี 001-2 -6233-8</t>
  </si>
  <si>
    <t>เงินรับฝาก -ค่าจ้างและประกันสังคม ผดด</t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</si>
  <si>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รายการจากสมุดเงินสดรับ  เข้าบัญชีแยกประเภทที่เกี่ยวข้อง ประจำเดือน เมษายน 2555</t>
    </r>
  </si>
  <si>
    <r>
      <t>คำอธิบาย</t>
    </r>
    <r>
      <rPr>
        <sz val="16"/>
        <rFont val="Angsana New"/>
        <family val="1"/>
      </rPr>
      <t xml:space="preserve">    รายการจากสมุดเงินสดจ่าย  เข้าบัญชีแยกประเภทที่เกี่ยวข้อง ประจำเดือน   เมษายน   2555</t>
    </r>
  </si>
  <si>
    <t>ค่าปรับ (เงนรายรับ)</t>
  </si>
  <si>
    <t>วันที่  30  เมษายน   2555.</t>
  </si>
  <si>
    <t>เลขที่..........03/04/2555........</t>
  </si>
  <si>
    <t>ค่าใบอนุญาตเกี่ยวกับควบคุมอาคาร</t>
  </si>
  <si>
    <t>ค่าธน.ใบอนุญาตกิจการที่เป็นอันตรายต่อสุขภาพ</t>
  </si>
  <si>
    <t>ค่าปรับผิดสัญญา</t>
  </si>
  <si>
    <t>ภาษีธุรกิจเฉพาะ</t>
  </si>
  <si>
    <t>ค่าภาคหลวงแร่</t>
  </si>
  <si>
    <r>
      <t>คำอธิบาย</t>
    </r>
    <r>
      <rPr>
        <sz val="16"/>
        <rFont val="Angsana New"/>
        <family val="1"/>
      </rPr>
      <t xml:space="preserve">    รายการจากทะเบียนเงินรายรับ  เข้าบัญชีแยกประเภทที่เกี่ยวข้อง ประจำเดือน เมษายน  2555</t>
    </r>
  </si>
  <si>
    <t>โครงการก่อสร้างถนน คสล.  ม.1</t>
  </si>
  <si>
    <t>โครงการก่อสร้างถนนปรับปรุงภูมิทัศน์</t>
  </si>
  <si>
    <t>- เบี้ยยังชีพผู้ป่วยเอดส์          32,000.00  บาท</t>
  </si>
  <si>
    <t>25/2555</t>
  </si>
  <si>
    <t>( 26  เม.ย. 55 )</t>
  </si>
  <si>
    <t>นายวีรพล</t>
  </si>
  <si>
    <t>ดำรง</t>
  </si>
  <si>
    <t>นางสมฤดี</t>
  </si>
  <si>
    <t>แสงศรีจันทร์</t>
  </si>
  <si>
    <t>จ.ส.อ.ปฏิเวช</t>
  </si>
  <si>
    <t>ยานะนวล</t>
  </si>
  <si>
    <t>นางอรัญญา</t>
  </si>
  <si>
    <t>บุญตานนท์</t>
  </si>
  <si>
    <t>33/2555</t>
  </si>
  <si>
    <t>34/2555</t>
  </si>
  <si>
    <t>35/2555</t>
  </si>
  <si>
    <t>36/2555</t>
  </si>
  <si>
    <t>( 18 เม.ย.55)</t>
  </si>
  <si>
    <t>(25 เม.ย.55)</t>
  </si>
  <si>
    <t>เป็นเงินยืมค่าเดินทางไปราชการให้ถ้อยคำต่อคณะกรรมการ ปปช.</t>
  </si>
  <si>
    <t>เป็นเงินยืมเพื่อเข้าร่วมประชุม ผู้แทนเครือข่ายคณะกรรมการสอบสวนทางวินัยฯ</t>
  </si>
  <si>
    <t>เป็นเงินยืมค่าเดินทางไปราชการมหกรรรมกองทุนหลักประกันสุขภาพฯ</t>
  </si>
  <si>
    <t xml:space="preserve"> วันที่........12.  เมษายน  2555</t>
  </si>
  <si>
    <t>ตามฎีกาส่งใช้เลขที่ ป.368/654</t>
  </si>
  <si>
    <t>ส่งใช้เงินยืมตามสัญญาเงินยืมเลขที่  30/2555  ของ จ.สอ.ปฏิเวช  ยานะนวล เป็นเงินยืมค่าลงทะเบียนการเพิ่มประสิทธิภาพข้าราชการท้องถิ่นฯ</t>
  </si>
  <si>
    <t>ข้าราชการท้องถิ่นฯ  ตามฎีกาส่งใช้เลขที่ ป.368/654</t>
  </si>
  <si>
    <t>ส่งใช้เงินยืมตามสัญญาเงินยืมเลขที่  30/2555  ของ จ.สอ.ปฏิเวช  ยานะนวล เป็นเงินยืมค่าเดินทางไปราชการอบรมการเพิ่มประสิทธิภาพ</t>
  </si>
  <si>
    <t>23/2555</t>
  </si>
  <si>
    <t>24/255</t>
  </si>
  <si>
    <t>( 17 เม.ย. 55)</t>
  </si>
  <si>
    <t>( 18 เม.ย. 55)</t>
  </si>
  <si>
    <t>- เบี้ยยังชีพผู้สูงอายุ        601,000.00  บาท</t>
  </si>
  <si>
    <t>- เบี้ยยังชีพผู้พิการ           70,000.00  บาท</t>
  </si>
  <si>
    <t>ค่าใช้สอย (ค่าลงทะเบียน)</t>
  </si>
  <si>
    <t>ประจำเดือน เมษายน 2555</t>
  </si>
</sst>
</file>

<file path=xl/styles.xml><?xml version="1.0" encoding="utf-8"?>
<styleSheet xmlns="http://schemas.openxmlformats.org/spreadsheetml/2006/main">
  <numFmts count="6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_-* #,##0.0_-;\-* #,##0.0_-;_-* &quot;-&quot;??_-;_-@_-"/>
    <numFmt numFmtId="205" formatCode="_-* #,##0_-;\-* #,##0_-;_-* &quot;-&quot;??_-;_-@_-"/>
    <numFmt numFmtId="206" formatCode="0.000"/>
    <numFmt numFmtId="207" formatCode="#,##0_ ;\-#,##0\ "/>
    <numFmt numFmtId="208" formatCode="_-* #,##0.000000_-;\-* #,##0.000000_-;_-* &quot;-&quot;??_-;_-@_-"/>
    <numFmt numFmtId="209" formatCode="#,##0.00_ ;\-#,##0.00\ "/>
    <numFmt numFmtId="210" formatCode="#,##0.0_ ;\-#,##0.0\ 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_ ;\-0.00\ "/>
    <numFmt numFmtId="216" formatCode="[$-41E]d\ mmmm\ yyyy"/>
    <numFmt numFmtId="217" formatCode="[&lt;=99999999][$-D000000]0\-####\-####;[$-D000000]#\-####\-####"/>
    <numFmt numFmtId="218" formatCode="d\ ดดดด\ bbbb"/>
    <numFmt numFmtId="219" formatCode="0.000000000"/>
    <numFmt numFmtId="220" formatCode="#,##0_);#,##0"/>
    <numFmt numFmtId="221" formatCode="#,##0_);##,#00.00"/>
    <numFmt numFmtId="222" formatCode="#,##0_);###,000.00"/>
    <numFmt numFmtId="223" formatCode="[$-409]dddd\,\ mmmm\ dd\,\ yyyy"/>
    <numFmt numFmtId="224" formatCode="[$-409]h:mm:ss\ AM/PM"/>
    <numFmt numFmtId="225" formatCode="[$-101041E]d\ mmm\ yy;@"/>
    <numFmt numFmtId="226" formatCode="\-"/>
    <numFmt numFmtId="227" formatCode="\ "/>
    <numFmt numFmtId="228" formatCode="#,##0.00;[Red]#,##0.00"/>
    <numFmt numFmtId="229" formatCode="0.0000000000"/>
    <numFmt numFmtId="230" formatCode="0.000000000000"/>
    <numFmt numFmtId="231" formatCode="0.00000000"/>
    <numFmt numFmtId="232" formatCode="0.0000000"/>
    <numFmt numFmtId="233" formatCode="0.000000"/>
    <numFmt numFmtId="234" formatCode="0.00000"/>
    <numFmt numFmtId="235" formatCode="0.0000"/>
    <numFmt numFmtId="236" formatCode="#,##0.00000000000"/>
    <numFmt numFmtId="237" formatCode="#,##0.000_ ;\-#,##0.000\ "/>
  </numFmts>
  <fonts count="93">
    <font>
      <sz val="14"/>
      <name val="Cordia New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sz val="14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sz val="15"/>
      <name val="AngsanaUPC"/>
      <family val="1"/>
    </font>
    <font>
      <b/>
      <sz val="15"/>
      <name val="AngsanaUPC"/>
      <family val="1"/>
    </font>
    <font>
      <b/>
      <u val="single"/>
      <sz val="15"/>
      <name val="AngsanaUPC"/>
      <family val="1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u val="single"/>
      <sz val="16"/>
      <name val="AngsanaUPC"/>
      <family val="1"/>
    </font>
    <font>
      <sz val="8"/>
      <name val="Cordia New"/>
      <family val="0"/>
    </font>
    <font>
      <b/>
      <u val="single"/>
      <sz val="16"/>
      <name val="Angsana New"/>
      <family val="1"/>
    </font>
    <font>
      <b/>
      <sz val="14"/>
      <name val="AngsanaUPC"/>
      <family val="1"/>
    </font>
    <font>
      <b/>
      <u val="single"/>
      <sz val="16"/>
      <name val="AngsanaUPC"/>
      <family val="1"/>
    </font>
    <font>
      <b/>
      <u val="single"/>
      <sz val="16"/>
      <color indexed="9"/>
      <name val="AngsanaUPC"/>
      <family val="1"/>
    </font>
    <font>
      <sz val="16"/>
      <color indexed="9"/>
      <name val="AngsanaUPC"/>
      <family val="1"/>
    </font>
    <font>
      <b/>
      <u val="single"/>
      <sz val="16"/>
      <name val="Cordia New"/>
      <family val="2"/>
    </font>
    <font>
      <sz val="16"/>
      <name val="Cordia New"/>
      <family val="0"/>
    </font>
    <font>
      <sz val="14"/>
      <color indexed="9"/>
      <name val="Cordia New"/>
      <family val="0"/>
    </font>
    <font>
      <u val="single"/>
      <sz val="16"/>
      <name val="Cordia New"/>
      <family val="0"/>
    </font>
    <font>
      <b/>
      <sz val="16"/>
      <name val="Cordia New"/>
      <family val="2"/>
    </font>
    <font>
      <sz val="14"/>
      <name val="Angsana New"/>
      <family val="1"/>
    </font>
    <font>
      <sz val="12"/>
      <name val="Angsana New"/>
      <family val="1"/>
    </font>
    <font>
      <sz val="12"/>
      <name val="CordiaUPC"/>
      <family val="2"/>
    </font>
    <font>
      <sz val="10"/>
      <name val="CordiaUPC"/>
      <family val="2"/>
    </font>
    <font>
      <b/>
      <sz val="12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sz val="15"/>
      <color indexed="9"/>
      <name val="AngsanaUPC"/>
      <family val="1"/>
    </font>
    <font>
      <sz val="16"/>
      <color indexed="9"/>
      <name val="Cordia New"/>
      <family val="0"/>
    </font>
    <font>
      <b/>
      <sz val="15"/>
      <color indexed="9"/>
      <name val="AngsanaUPC"/>
      <family val="1"/>
    </font>
    <font>
      <sz val="12"/>
      <name val="AngsanaUPC"/>
      <family val="1"/>
    </font>
    <font>
      <sz val="12"/>
      <color indexed="8"/>
      <name val="CordiaUPC"/>
      <family val="2"/>
    </font>
    <font>
      <sz val="16"/>
      <name val="Arial"/>
      <family val="0"/>
    </font>
    <font>
      <sz val="16"/>
      <color indexed="9"/>
      <name val="Angsana New"/>
      <family val="1"/>
    </font>
    <font>
      <u val="single"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u val="single"/>
      <sz val="15"/>
      <name val="Angsana New"/>
      <family val="1"/>
    </font>
    <font>
      <u val="singleAccounting"/>
      <sz val="16"/>
      <name val="AngsanaUPC"/>
      <family val="1"/>
    </font>
    <font>
      <b/>
      <sz val="14"/>
      <name val="Cordia New"/>
      <family val="2"/>
    </font>
    <font>
      <sz val="12"/>
      <color indexed="9"/>
      <name val="CordiaUPC"/>
      <family val="2"/>
    </font>
    <font>
      <sz val="12"/>
      <name val="Cordia New"/>
      <family val="2"/>
    </font>
    <font>
      <sz val="16"/>
      <color indexed="8"/>
      <name val="Angsana New"/>
      <family val="2"/>
    </font>
    <font>
      <sz val="16"/>
      <color indexed="20"/>
      <name val="Angsana New"/>
      <family val="2"/>
    </font>
    <font>
      <b/>
      <sz val="16"/>
      <color indexed="52"/>
      <name val="Angsana New"/>
      <family val="2"/>
    </font>
    <font>
      <b/>
      <sz val="16"/>
      <color indexed="9"/>
      <name val="Angsana New"/>
      <family val="2"/>
    </font>
    <font>
      <i/>
      <sz val="16"/>
      <color indexed="23"/>
      <name val="Angsana New"/>
      <family val="2"/>
    </font>
    <font>
      <sz val="16"/>
      <color indexed="17"/>
      <name val="Angsana New"/>
      <family val="2"/>
    </font>
    <font>
      <b/>
      <sz val="15"/>
      <color indexed="56"/>
      <name val="Angsana New"/>
      <family val="2"/>
    </font>
    <font>
      <b/>
      <sz val="13"/>
      <color indexed="56"/>
      <name val="Angsana New"/>
      <family val="2"/>
    </font>
    <font>
      <b/>
      <sz val="11"/>
      <color indexed="56"/>
      <name val="Angsana New"/>
      <family val="2"/>
    </font>
    <font>
      <sz val="16"/>
      <color indexed="62"/>
      <name val="Angsana New"/>
      <family val="2"/>
    </font>
    <font>
      <sz val="16"/>
      <color indexed="52"/>
      <name val="Angsana New"/>
      <family val="2"/>
    </font>
    <font>
      <sz val="16"/>
      <color indexed="60"/>
      <name val="Angsana New"/>
      <family val="2"/>
    </font>
    <font>
      <b/>
      <sz val="16"/>
      <color indexed="63"/>
      <name val="Angsana New"/>
      <family val="2"/>
    </font>
    <font>
      <b/>
      <sz val="18"/>
      <color indexed="56"/>
      <name val="Tahoma"/>
      <family val="2"/>
    </font>
    <font>
      <b/>
      <sz val="16"/>
      <color indexed="8"/>
      <name val="Angsana New"/>
      <family val="2"/>
    </font>
    <font>
      <sz val="16"/>
      <color indexed="10"/>
      <name val="Angsana New"/>
      <family val="2"/>
    </font>
    <font>
      <sz val="15"/>
      <color indexed="9"/>
      <name val="Angsana New"/>
      <family val="1"/>
    </font>
    <font>
      <sz val="16"/>
      <color indexed="9"/>
      <name val="Arial"/>
      <family val="2"/>
    </font>
    <font>
      <sz val="16"/>
      <color indexed="8"/>
      <name val="Arial"/>
      <family val="2"/>
    </font>
    <font>
      <sz val="13"/>
      <color indexed="8"/>
      <name val="Cordia New"/>
      <family val="2"/>
    </font>
    <font>
      <sz val="16"/>
      <color indexed="8"/>
      <name val="Cordia New"/>
      <family val="2"/>
    </font>
    <font>
      <sz val="15"/>
      <color indexed="8"/>
      <name val="Cordia New"/>
      <family val="2"/>
    </font>
    <font>
      <sz val="16"/>
      <color indexed="8"/>
      <name val="AngsanaUPC"/>
      <family val="1"/>
    </font>
    <font>
      <sz val="16"/>
      <color theme="1"/>
      <name val="Angsana New"/>
      <family val="2"/>
    </font>
    <font>
      <sz val="16"/>
      <color theme="0"/>
      <name val="Angsana New"/>
      <family val="2"/>
    </font>
    <font>
      <b/>
      <sz val="16"/>
      <color rgb="FFFA7D00"/>
      <name val="Angsana New"/>
      <family val="2"/>
    </font>
    <font>
      <sz val="16"/>
      <color rgb="FFFF0000"/>
      <name val="Angsana New"/>
      <family val="2"/>
    </font>
    <font>
      <i/>
      <sz val="16"/>
      <color rgb="FF7F7F7F"/>
      <name val="Angsana New"/>
      <family val="2"/>
    </font>
    <font>
      <b/>
      <sz val="18"/>
      <color theme="3"/>
      <name val="Cambria"/>
      <family val="2"/>
    </font>
    <font>
      <b/>
      <sz val="16"/>
      <color theme="0"/>
      <name val="Angsana New"/>
      <family val="2"/>
    </font>
    <font>
      <sz val="16"/>
      <color rgb="FFFA7D00"/>
      <name val="Angsana New"/>
      <family val="2"/>
    </font>
    <font>
      <sz val="16"/>
      <color rgb="FF006100"/>
      <name val="Angsana New"/>
      <family val="2"/>
    </font>
    <font>
      <sz val="16"/>
      <color rgb="FF3F3F76"/>
      <name val="Angsana New"/>
      <family val="2"/>
    </font>
    <font>
      <sz val="16"/>
      <color rgb="FF9C6500"/>
      <name val="Angsana New"/>
      <family val="2"/>
    </font>
    <font>
      <b/>
      <sz val="16"/>
      <color theme="1"/>
      <name val="Angsana New"/>
      <family val="2"/>
    </font>
    <font>
      <sz val="16"/>
      <color rgb="FF9C0006"/>
      <name val="Angsana New"/>
      <family val="2"/>
    </font>
    <font>
      <b/>
      <sz val="16"/>
      <color rgb="FF3F3F3F"/>
      <name val="Angsana New"/>
      <family val="2"/>
    </font>
    <font>
      <b/>
      <sz val="15"/>
      <color theme="3"/>
      <name val="Angsana New"/>
      <family val="2"/>
    </font>
    <font>
      <b/>
      <sz val="13"/>
      <color theme="3"/>
      <name val="Angsana New"/>
      <family val="2"/>
    </font>
    <font>
      <b/>
      <sz val="11"/>
      <color theme="3"/>
      <name val="Angsana New"/>
      <family val="2"/>
    </font>
    <font>
      <sz val="15"/>
      <color theme="0"/>
      <name val="Angsana New"/>
      <family val="1"/>
    </font>
    <font>
      <sz val="16"/>
      <color theme="0"/>
      <name val="Arial"/>
      <family val="2"/>
    </font>
    <font>
      <sz val="16"/>
      <color theme="1"/>
      <name val="Arial"/>
      <family val="2"/>
    </font>
    <font>
      <sz val="15"/>
      <color theme="0"/>
      <name val="AngsanaUPC"/>
      <family val="1"/>
    </font>
    <font>
      <sz val="12"/>
      <color theme="1"/>
      <name val="CordiaUPC"/>
      <family val="2"/>
    </font>
    <font>
      <sz val="12"/>
      <color theme="0"/>
      <name val="CordiaUPC"/>
      <family val="2"/>
    </font>
    <font>
      <sz val="14"/>
      <color theme="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1" fillId="20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21" borderId="2" applyNumberFormat="0" applyAlignment="0" applyProtection="0"/>
    <xf numFmtId="0" fontId="76" fillId="0" borderId="3" applyNumberFormat="0" applyFill="0" applyAlignment="0" applyProtection="0"/>
    <xf numFmtId="0" fontId="77" fillId="22" borderId="0" applyNumberFormat="0" applyBorder="0" applyAlignment="0" applyProtection="0"/>
    <xf numFmtId="0" fontId="78" fillId="23" borderId="1" applyNumberFormat="0" applyAlignment="0" applyProtection="0"/>
    <xf numFmtId="0" fontId="79" fillId="24" borderId="0" applyNumberFormat="0" applyBorder="0" applyAlignment="0" applyProtection="0"/>
    <xf numFmtId="9" fontId="0" fillId="0" borderId="0" applyFont="0" applyFill="0" applyBorder="0" applyAlignment="0" applyProtection="0"/>
    <xf numFmtId="0" fontId="80" fillId="0" borderId="4" applyNumberFormat="0" applyFill="0" applyAlignment="0" applyProtection="0"/>
    <xf numFmtId="0" fontId="81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82" fillId="20" borderId="5" applyNumberFormat="0" applyAlignment="0" applyProtection="0"/>
    <xf numFmtId="0" fontId="0" fillId="32" borderId="6" applyNumberFormat="0" applyFont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5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1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/>
    </xf>
    <xf numFmtId="4" fontId="1" fillId="33" borderId="0" xfId="38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3" fontId="1" fillId="33" borderId="0" xfId="38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0" fillId="33" borderId="0" xfId="0" applyNumberForma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3" fontId="1" fillId="33" borderId="0" xfId="38" applyFont="1" applyFill="1" applyAlignment="1">
      <alignment/>
    </xf>
    <xf numFmtId="0" fontId="1" fillId="33" borderId="17" xfId="0" applyFont="1" applyFill="1" applyBorder="1" applyAlignment="1">
      <alignment horizontal="center"/>
    </xf>
    <xf numFmtId="43" fontId="1" fillId="33" borderId="17" xfId="0" applyNumberFormat="1" applyFont="1" applyFill="1" applyBorder="1" applyAlignment="1">
      <alignment horizontal="right"/>
    </xf>
    <xf numFmtId="43" fontId="1" fillId="33" borderId="17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43" fontId="1" fillId="33" borderId="18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4" fontId="1" fillId="33" borderId="16" xfId="0" applyNumberFormat="1" applyFont="1" applyFill="1" applyBorder="1" applyAlignment="1">
      <alignment horizontal="right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1" fillId="33" borderId="20" xfId="38" applyNumberFormat="1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5" fillId="33" borderId="0" xfId="0" applyFont="1" applyFill="1" applyBorder="1" applyAlignment="1">
      <alignment/>
    </xf>
    <xf numFmtId="43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4" fontId="12" fillId="0" borderId="11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4" fontId="1" fillId="0" borderId="13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209" fontId="1" fillId="0" borderId="13" xfId="0" applyNumberFormat="1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right"/>
    </xf>
    <xf numFmtId="4" fontId="18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13" xfId="0" applyNumberFormat="1" applyFont="1" applyBorder="1" applyAlignment="1">
      <alignment horizontal="left"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/>
    </xf>
    <xf numFmtId="209" fontId="20" fillId="0" borderId="0" xfId="0" applyNumberFormat="1" applyFont="1" applyAlignment="1">
      <alignment/>
    </xf>
    <xf numFmtId="209" fontId="20" fillId="0" borderId="25" xfId="0" applyNumberFormat="1" applyFont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209" fontId="20" fillId="0" borderId="0" xfId="0" applyNumberFormat="1" applyFont="1" applyBorder="1" applyAlignment="1">
      <alignment/>
    </xf>
    <xf numFmtId="209" fontId="20" fillId="0" borderId="0" xfId="0" applyNumberFormat="1" applyFont="1" applyAlignment="1">
      <alignment horizontal="center"/>
    </xf>
    <xf numFmtId="49" fontId="1" fillId="33" borderId="18" xfId="0" applyNumberFormat="1" applyFont="1" applyFill="1" applyBorder="1" applyAlignment="1">
      <alignment horizontal="center" vertical="center"/>
    </xf>
    <xf numFmtId="43" fontId="1" fillId="33" borderId="2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43" fontId="0" fillId="33" borderId="0" xfId="0" applyNumberFormat="1" applyFill="1" applyAlignment="1">
      <alignment/>
    </xf>
    <xf numFmtId="209" fontId="1" fillId="0" borderId="13" xfId="38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/>
    </xf>
    <xf numFmtId="43" fontId="1" fillId="33" borderId="18" xfId="38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center"/>
    </xf>
    <xf numFmtId="43" fontId="1" fillId="33" borderId="16" xfId="38" applyFont="1" applyFill="1" applyBorder="1" applyAlignment="1">
      <alignment/>
    </xf>
    <xf numFmtId="43" fontId="0" fillId="33" borderId="0" xfId="0" applyNumberFormat="1" applyFont="1" applyFill="1" applyAlignment="1">
      <alignment/>
    </xf>
    <xf numFmtId="49" fontId="1" fillId="33" borderId="14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49" fontId="7" fillId="33" borderId="0" xfId="0" applyNumberFormat="1" applyFont="1" applyFill="1" applyBorder="1" applyAlignment="1">
      <alignment horizontal="center"/>
    </xf>
    <xf numFmtId="43" fontId="7" fillId="33" borderId="0" xfId="38" applyFont="1" applyFill="1" applyBorder="1" applyAlignment="1">
      <alignment horizontal="right"/>
    </xf>
    <xf numFmtId="43" fontId="7" fillId="33" borderId="0" xfId="38" applyFont="1" applyFill="1" applyBorder="1" applyAlignment="1">
      <alignment/>
    </xf>
    <xf numFmtId="0" fontId="0" fillId="33" borderId="0" xfId="0" applyFill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43" fontId="1" fillId="33" borderId="18" xfId="0" applyNumberFormat="1" applyFont="1" applyFill="1" applyBorder="1" applyAlignment="1">
      <alignment horizontal="right"/>
    </xf>
    <xf numFmtId="4" fontId="1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209" fontId="7" fillId="33" borderId="18" xfId="38" applyNumberFormat="1" applyFont="1" applyFill="1" applyBorder="1" applyAlignment="1">
      <alignment horizontal="right"/>
    </xf>
    <xf numFmtId="0" fontId="7" fillId="33" borderId="18" xfId="0" applyFont="1" applyFill="1" applyBorder="1" applyAlignment="1">
      <alignment/>
    </xf>
    <xf numFmtId="209" fontId="7" fillId="33" borderId="18" xfId="38" applyNumberFormat="1" applyFont="1" applyFill="1" applyBorder="1" applyAlignment="1">
      <alignment/>
    </xf>
    <xf numFmtId="209" fontId="7" fillId="33" borderId="16" xfId="38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/>
    </xf>
    <xf numFmtId="209" fontId="7" fillId="33" borderId="16" xfId="0" applyNumberFormat="1" applyFont="1" applyFill="1" applyBorder="1" applyAlignment="1">
      <alignment/>
    </xf>
    <xf numFmtId="43" fontId="7" fillId="33" borderId="16" xfId="38" applyNumberFormat="1" applyFont="1" applyFill="1" applyBorder="1" applyAlignment="1">
      <alignment/>
    </xf>
    <xf numFmtId="49" fontId="7" fillId="33" borderId="16" xfId="0" applyNumberFormat="1" applyFont="1" applyFill="1" applyBorder="1" applyAlignment="1">
      <alignment horizontal="center"/>
    </xf>
    <xf numFmtId="209" fontId="1" fillId="33" borderId="0" xfId="0" applyNumberFormat="1" applyFont="1" applyFill="1" applyAlignment="1">
      <alignment/>
    </xf>
    <xf numFmtId="43" fontId="7" fillId="33" borderId="16" xfId="38" applyNumberFormat="1" applyFont="1" applyFill="1" applyBorder="1" applyAlignment="1">
      <alignment horizontal="center"/>
    </xf>
    <xf numFmtId="43" fontId="8" fillId="33" borderId="20" xfId="38" applyNumberFormat="1" applyFont="1" applyFill="1" applyBorder="1" applyAlignment="1">
      <alignment/>
    </xf>
    <xf numFmtId="209" fontId="8" fillId="33" borderId="20" xfId="38" applyNumberFormat="1" applyFont="1" applyFill="1" applyBorder="1" applyAlignment="1">
      <alignment horizontal="right"/>
    </xf>
    <xf numFmtId="0" fontId="8" fillId="33" borderId="16" xfId="0" applyFont="1" applyFill="1" applyBorder="1" applyAlignment="1">
      <alignment/>
    </xf>
    <xf numFmtId="205" fontId="8" fillId="33" borderId="0" xfId="38" applyNumberFormat="1" applyFont="1" applyFill="1" applyBorder="1" applyAlignment="1">
      <alignment/>
    </xf>
    <xf numFmtId="209" fontId="8" fillId="33" borderId="26" xfId="38" applyNumberFormat="1" applyFont="1" applyFill="1" applyBorder="1" applyAlignment="1">
      <alignment horizontal="right"/>
    </xf>
    <xf numFmtId="209" fontId="8" fillId="33" borderId="16" xfId="38" applyNumberFormat="1" applyFont="1" applyFill="1" applyBorder="1" applyAlignment="1">
      <alignment/>
    </xf>
    <xf numFmtId="209" fontId="7" fillId="33" borderId="0" xfId="0" applyNumberFormat="1" applyFont="1" applyFill="1" applyBorder="1" applyAlignment="1">
      <alignment horizontal="center"/>
    </xf>
    <xf numFmtId="209" fontId="8" fillId="33" borderId="17" xfId="0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209" fontId="8" fillId="33" borderId="20" xfId="38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left"/>
    </xf>
    <xf numFmtId="205" fontId="7" fillId="33" borderId="18" xfId="38" applyNumberFormat="1" applyFont="1" applyFill="1" applyBorder="1" applyAlignment="1">
      <alignment horizontal="center"/>
    </xf>
    <xf numFmtId="209" fontId="7" fillId="33" borderId="16" xfId="38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209" fontId="8" fillId="33" borderId="17" xfId="38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209" fontId="7" fillId="33" borderId="0" xfId="0" applyNumberFormat="1" applyFont="1" applyFill="1" applyBorder="1" applyAlignment="1">
      <alignment/>
    </xf>
    <xf numFmtId="209" fontId="7" fillId="33" borderId="0" xfId="0" applyNumberFormat="1" applyFont="1" applyFill="1" applyAlignment="1">
      <alignment/>
    </xf>
    <xf numFmtId="209" fontId="8" fillId="33" borderId="0" xfId="38" applyNumberFormat="1" applyFont="1" applyFill="1" applyBorder="1" applyAlignment="1">
      <alignment horizontal="right"/>
    </xf>
    <xf numFmtId="205" fontId="7" fillId="33" borderId="0" xfId="38" applyNumberFormat="1" applyFont="1" applyFill="1" applyBorder="1" applyAlignment="1">
      <alignment/>
    </xf>
    <xf numFmtId="205" fontId="7" fillId="33" borderId="0" xfId="38" applyNumberFormat="1" applyFont="1" applyFill="1" applyBorder="1" applyAlignment="1">
      <alignment/>
    </xf>
    <xf numFmtId="0" fontId="5" fillId="33" borderId="0" xfId="0" applyFont="1" applyFill="1" applyAlignment="1">
      <alignment/>
    </xf>
    <xf numFmtId="4" fontId="5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4" fontId="6" fillId="33" borderId="18" xfId="0" applyNumberFormat="1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4" fontId="6" fillId="33" borderId="14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3" fontId="5" fillId="33" borderId="16" xfId="38" applyNumberFormat="1" applyFont="1" applyFill="1" applyBorder="1" applyAlignment="1">
      <alignment/>
    </xf>
    <xf numFmtId="43" fontId="5" fillId="33" borderId="16" xfId="38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43" fontId="5" fillId="33" borderId="16" xfId="38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/>
    </xf>
    <xf numFmtId="4" fontId="5" fillId="33" borderId="16" xfId="0" applyNumberFormat="1" applyFont="1" applyFill="1" applyBorder="1" applyAlignment="1">
      <alignment horizontal="right"/>
    </xf>
    <xf numFmtId="43" fontId="5" fillId="33" borderId="16" xfId="0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43" fontId="5" fillId="33" borderId="20" xfId="38" applyFont="1" applyFill="1" applyBorder="1" applyAlignment="1">
      <alignment/>
    </xf>
    <xf numFmtId="43" fontId="5" fillId="33" borderId="20" xfId="38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 horizontal="right"/>
    </xf>
    <xf numFmtId="209" fontId="19" fillId="0" borderId="0" xfId="0" applyNumberFormat="1" applyFont="1" applyAlignment="1">
      <alignment/>
    </xf>
    <xf numFmtId="0" fontId="12" fillId="33" borderId="0" xfId="0" applyFont="1" applyFill="1" applyAlignment="1">
      <alignment horizontal="center"/>
    </xf>
    <xf numFmtId="43" fontId="1" fillId="33" borderId="0" xfId="0" applyNumberFormat="1" applyFont="1" applyFill="1" applyAlignment="1">
      <alignment/>
    </xf>
    <xf numFmtId="0" fontId="18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43" fontId="5" fillId="33" borderId="16" xfId="38" applyFont="1" applyFill="1" applyBorder="1" applyAlignment="1">
      <alignment horizontal="left"/>
    </xf>
    <xf numFmtId="43" fontId="5" fillId="33" borderId="16" xfId="0" applyNumberFormat="1" applyFont="1" applyFill="1" applyBorder="1" applyAlignment="1">
      <alignment horizontal="center"/>
    </xf>
    <xf numFmtId="43" fontId="5" fillId="33" borderId="0" xfId="0" applyNumberFormat="1" applyFont="1" applyFill="1" applyBorder="1" applyAlignment="1">
      <alignment/>
    </xf>
    <xf numFmtId="43" fontId="5" fillId="33" borderId="16" xfId="38" applyFont="1" applyFill="1" applyBorder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4" fontId="20" fillId="0" borderId="0" xfId="0" applyNumberFormat="1" applyFont="1" applyAlignment="1">
      <alignment/>
    </xf>
    <xf numFmtId="194" fontId="23" fillId="0" borderId="25" xfId="0" applyNumberFormat="1" applyFont="1" applyBorder="1" applyAlignment="1">
      <alignment/>
    </xf>
    <xf numFmtId="194" fontId="20" fillId="0" borderId="0" xfId="0" applyNumberFormat="1" applyFont="1" applyBorder="1" applyAlignment="1">
      <alignment/>
    </xf>
    <xf numFmtId="0" fontId="20" fillId="0" borderId="0" xfId="0" applyFont="1" applyAlignment="1">
      <alignment horizontal="right"/>
    </xf>
    <xf numFmtId="43" fontId="20" fillId="0" borderId="0" xfId="38" applyFont="1" applyAlignment="1">
      <alignment/>
    </xf>
    <xf numFmtId="43" fontId="23" fillId="0" borderId="0" xfId="38" applyFont="1" applyAlignment="1">
      <alignment/>
    </xf>
    <xf numFmtId="43" fontId="24" fillId="33" borderId="0" xfId="38" applyFont="1" applyFill="1" applyAlignment="1">
      <alignment horizontal="center"/>
    </xf>
    <xf numFmtId="0" fontId="18" fillId="0" borderId="0" xfId="0" applyFont="1" applyAlignment="1">
      <alignment/>
    </xf>
    <xf numFmtId="43" fontId="24" fillId="33" borderId="10" xfId="38" applyFont="1" applyFill="1" applyBorder="1" applyAlignment="1">
      <alignment horizontal="center"/>
    </xf>
    <xf numFmtId="43" fontId="25" fillId="33" borderId="18" xfId="38" applyFont="1" applyFill="1" applyBorder="1" applyAlignment="1">
      <alignment horizontal="center"/>
    </xf>
    <xf numFmtId="49" fontId="26" fillId="33" borderId="18" xfId="38" applyNumberFormat="1" applyFont="1" applyFill="1" applyBorder="1" applyAlignment="1">
      <alignment horizontal="center" vertical="center"/>
    </xf>
    <xf numFmtId="49" fontId="26" fillId="33" borderId="24" xfId="38" applyNumberFormat="1" applyFont="1" applyFill="1" applyBorder="1" applyAlignment="1">
      <alignment horizontal="center" vertical="center"/>
    </xf>
    <xf numFmtId="49" fontId="26" fillId="33" borderId="17" xfId="38" applyNumberFormat="1" applyFont="1" applyFill="1" applyBorder="1" applyAlignment="1">
      <alignment horizontal="center"/>
    </xf>
    <xf numFmtId="49" fontId="26" fillId="33" borderId="24" xfId="38" applyNumberFormat="1" applyFont="1" applyFill="1" applyBorder="1" applyAlignment="1">
      <alignment/>
    </xf>
    <xf numFmtId="49" fontId="26" fillId="33" borderId="18" xfId="38" applyNumberFormat="1" applyFont="1" applyFill="1" applyBorder="1" applyAlignment="1">
      <alignment/>
    </xf>
    <xf numFmtId="49" fontId="26" fillId="33" borderId="17" xfId="38" applyNumberFormat="1" applyFont="1" applyFill="1" applyBorder="1" applyAlignment="1">
      <alignment horizontal="center" vertical="center"/>
    </xf>
    <xf numFmtId="43" fontId="25" fillId="33" borderId="14" xfId="38" applyFont="1" applyFill="1" applyBorder="1" applyAlignment="1">
      <alignment horizontal="center"/>
    </xf>
    <xf numFmtId="49" fontId="26" fillId="33" borderId="14" xfId="38" applyNumberFormat="1" applyFont="1" applyFill="1" applyBorder="1" applyAlignment="1">
      <alignment horizontal="center"/>
    </xf>
    <xf numFmtId="49" fontId="26" fillId="33" borderId="14" xfId="38" applyNumberFormat="1" applyFont="1" applyFill="1" applyBorder="1" applyAlignment="1">
      <alignment horizontal="center" vertical="center"/>
    </xf>
    <xf numFmtId="49" fontId="26" fillId="33" borderId="16" xfId="38" applyNumberFormat="1" applyFont="1" applyFill="1" applyBorder="1" applyAlignment="1">
      <alignment horizontal="center" vertical="center"/>
    </xf>
    <xf numFmtId="49" fontId="26" fillId="33" borderId="17" xfId="0" applyNumberFormat="1" applyFont="1" applyFill="1" applyBorder="1" applyAlignment="1">
      <alignment horizontal="center" vertical="center"/>
    </xf>
    <xf numFmtId="49" fontId="26" fillId="33" borderId="14" xfId="0" applyNumberFormat="1" applyFont="1" applyFill="1" applyBorder="1" applyAlignment="1">
      <alignment horizontal="center" vertical="center"/>
    </xf>
    <xf numFmtId="43" fontId="25" fillId="33" borderId="17" xfId="38" applyFont="1" applyFill="1" applyBorder="1" applyAlignment="1">
      <alignment/>
    </xf>
    <xf numFmtId="4" fontId="27" fillId="33" borderId="17" xfId="38" applyNumberFormat="1" applyFont="1" applyFill="1" applyBorder="1" applyAlignment="1">
      <alignment horizontal="center"/>
    </xf>
    <xf numFmtId="4" fontId="26" fillId="33" borderId="17" xfId="38" applyNumberFormat="1" applyFont="1" applyFill="1" applyBorder="1" applyAlignment="1">
      <alignment horizontal="center"/>
    </xf>
    <xf numFmtId="4" fontId="27" fillId="33" borderId="17" xfId="38" applyNumberFormat="1" applyFont="1" applyFill="1" applyBorder="1" applyAlignment="1">
      <alignment horizontal="center" vertical="center"/>
    </xf>
    <xf numFmtId="4" fontId="26" fillId="33" borderId="18" xfId="38" applyNumberFormat="1" applyFont="1" applyFill="1" applyBorder="1" applyAlignment="1">
      <alignment horizontal="center"/>
    </xf>
    <xf numFmtId="4" fontId="27" fillId="33" borderId="18" xfId="38" applyNumberFormat="1" applyFont="1" applyFill="1" applyBorder="1" applyAlignment="1">
      <alignment horizontal="center"/>
    </xf>
    <xf numFmtId="4" fontId="27" fillId="33" borderId="18" xfId="38" applyNumberFormat="1" applyFont="1" applyFill="1" applyBorder="1" applyAlignment="1">
      <alignment horizontal="center" vertical="center"/>
    </xf>
    <xf numFmtId="43" fontId="28" fillId="33" borderId="18" xfId="38" applyFont="1" applyFill="1" applyBorder="1" applyAlignment="1">
      <alignment horizontal="right"/>
    </xf>
    <xf numFmtId="4" fontId="26" fillId="33" borderId="27" xfId="38" applyNumberFormat="1" applyFont="1" applyFill="1" applyBorder="1" applyAlignment="1">
      <alignment horizontal="center" vertical="center"/>
    </xf>
    <xf numFmtId="4" fontId="27" fillId="33" borderId="27" xfId="38" applyNumberFormat="1" applyFont="1" applyFill="1" applyBorder="1" applyAlignment="1">
      <alignment horizontal="center" vertical="center"/>
    </xf>
    <xf numFmtId="4" fontId="27" fillId="33" borderId="27" xfId="38" applyNumberFormat="1" applyFont="1" applyFill="1" applyBorder="1" applyAlignment="1">
      <alignment horizontal="center"/>
    </xf>
    <xf numFmtId="4" fontId="26" fillId="33" borderId="27" xfId="38" applyNumberFormat="1" applyFont="1" applyFill="1" applyBorder="1" applyAlignment="1">
      <alignment horizontal="center"/>
    </xf>
    <xf numFmtId="43" fontId="28" fillId="33" borderId="14" xfId="38" applyFont="1" applyFill="1" applyBorder="1" applyAlignment="1">
      <alignment horizontal="right"/>
    </xf>
    <xf numFmtId="4" fontId="26" fillId="33" borderId="14" xfId="38" applyNumberFormat="1" applyFont="1" applyFill="1" applyBorder="1" applyAlignment="1">
      <alignment horizontal="center"/>
    </xf>
    <xf numFmtId="4" fontId="26" fillId="33" borderId="16" xfId="38" applyNumberFormat="1" applyFont="1" applyFill="1" applyBorder="1" applyAlignment="1">
      <alignment horizontal="center"/>
    </xf>
    <xf numFmtId="4" fontId="27" fillId="33" borderId="16" xfId="38" applyNumberFormat="1" applyFont="1" applyFill="1" applyBorder="1" applyAlignment="1">
      <alignment horizontal="center"/>
    </xf>
    <xf numFmtId="4" fontId="27" fillId="33" borderId="16" xfId="38" applyNumberFormat="1" applyFont="1" applyFill="1" applyBorder="1" applyAlignment="1">
      <alignment horizontal="center" vertical="center"/>
    </xf>
    <xf numFmtId="4" fontId="26" fillId="33" borderId="28" xfId="38" applyNumberFormat="1" applyFont="1" applyFill="1" applyBorder="1" applyAlignment="1">
      <alignment horizontal="center"/>
    </xf>
    <xf numFmtId="43" fontId="28" fillId="33" borderId="16" xfId="38" applyFont="1" applyFill="1" applyBorder="1" applyAlignment="1">
      <alignment horizontal="right"/>
    </xf>
    <xf numFmtId="4" fontId="26" fillId="33" borderId="17" xfId="38" applyNumberFormat="1" applyFont="1" applyFill="1" applyBorder="1" applyAlignment="1">
      <alignment horizontal="center" vertical="center"/>
    </xf>
    <xf numFmtId="4" fontId="26" fillId="33" borderId="18" xfId="38" applyNumberFormat="1" applyFont="1" applyFill="1" applyBorder="1" applyAlignment="1">
      <alignment horizontal="center" vertical="center"/>
    </xf>
    <xf numFmtId="4" fontId="26" fillId="33" borderId="29" xfId="38" applyNumberFormat="1" applyFont="1" applyFill="1" applyBorder="1" applyAlignment="1">
      <alignment horizontal="center" vertical="center"/>
    </xf>
    <xf numFmtId="4" fontId="26" fillId="33" borderId="29" xfId="38" applyNumberFormat="1" applyFont="1" applyFill="1" applyBorder="1" applyAlignment="1">
      <alignment horizontal="center"/>
    </xf>
    <xf numFmtId="43" fontId="25" fillId="33" borderId="18" xfId="38" applyFont="1" applyFill="1" applyBorder="1" applyAlignment="1">
      <alignment/>
    </xf>
    <xf numFmtId="4" fontId="26" fillId="33" borderId="30" xfId="38" applyNumberFormat="1" applyFont="1" applyFill="1" applyBorder="1" applyAlignment="1">
      <alignment horizontal="center"/>
    </xf>
    <xf numFmtId="43" fontId="29" fillId="33" borderId="23" xfId="38" applyFont="1" applyFill="1" applyBorder="1" applyAlignment="1">
      <alignment/>
    </xf>
    <xf numFmtId="4" fontId="29" fillId="33" borderId="23" xfId="38" applyNumberFormat="1" applyFont="1" applyFill="1" applyBorder="1" applyAlignment="1">
      <alignment horizontal="center"/>
    </xf>
    <xf numFmtId="43" fontId="25" fillId="33" borderId="0" xfId="38" applyFont="1" applyFill="1" applyBorder="1" applyAlignment="1">
      <alignment/>
    </xf>
    <xf numFmtId="4" fontId="29" fillId="33" borderId="0" xfId="38" applyNumberFormat="1" applyFont="1" applyFill="1" applyBorder="1" applyAlignment="1">
      <alignment horizontal="center"/>
    </xf>
    <xf numFmtId="4" fontId="26" fillId="33" borderId="14" xfId="0" applyNumberFormat="1" applyFont="1" applyFill="1" applyBorder="1" applyAlignment="1">
      <alignment horizontal="center" vertical="center"/>
    </xf>
    <xf numFmtId="4" fontId="26" fillId="33" borderId="14" xfId="38" applyNumberFormat="1" applyFont="1" applyFill="1" applyBorder="1" applyAlignment="1">
      <alignment horizontal="center" vertical="center"/>
    </xf>
    <xf numFmtId="4" fontId="26" fillId="33" borderId="17" xfId="0" applyNumberFormat="1" applyFont="1" applyFill="1" applyBorder="1" applyAlignment="1">
      <alignment horizontal="center" vertical="center"/>
    </xf>
    <xf numFmtId="4" fontId="26" fillId="33" borderId="16" xfId="38" applyNumberFormat="1" applyFont="1" applyFill="1" applyBorder="1" applyAlignment="1">
      <alignment horizontal="center" vertical="center"/>
    </xf>
    <xf numFmtId="43" fontId="30" fillId="33" borderId="0" xfId="38" applyFont="1" applyFill="1" applyBorder="1" applyAlignment="1">
      <alignment horizontal="right"/>
    </xf>
    <xf numFmtId="4" fontId="29" fillId="33" borderId="0" xfId="38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205" fontId="7" fillId="0" borderId="0" xfId="38" applyNumberFormat="1" applyFont="1" applyBorder="1" applyAlignment="1">
      <alignment/>
    </xf>
    <xf numFmtId="43" fontId="28" fillId="33" borderId="0" xfId="38" applyFont="1" applyFill="1" applyBorder="1" applyAlignment="1">
      <alignment horizontal="right"/>
    </xf>
    <xf numFmtId="4" fontId="26" fillId="33" borderId="0" xfId="38" applyNumberFormat="1" applyFont="1" applyFill="1" applyBorder="1" applyAlignment="1">
      <alignment horizontal="center" vertical="center"/>
    </xf>
    <xf numFmtId="3" fontId="31" fillId="33" borderId="0" xfId="0" applyNumberFormat="1" applyFont="1" applyFill="1" applyBorder="1" applyAlignment="1">
      <alignment horizontal="center"/>
    </xf>
    <xf numFmtId="43" fontId="1" fillId="0" borderId="13" xfId="38" applyFont="1" applyBorder="1" applyAlignment="1">
      <alignment horizontal="center"/>
    </xf>
    <xf numFmtId="209" fontId="7" fillId="33" borderId="11" xfId="38" applyNumberFormat="1" applyFont="1" applyFill="1" applyBorder="1" applyAlignment="1">
      <alignment horizontal="right"/>
    </xf>
    <xf numFmtId="43" fontId="1" fillId="0" borderId="0" xfId="38" applyFont="1" applyBorder="1" applyAlignment="1">
      <alignment horizontal="center"/>
    </xf>
    <xf numFmtId="194" fontId="1" fillId="0" borderId="13" xfId="0" applyNumberFormat="1" applyFont="1" applyBorder="1" applyAlignment="1">
      <alignment horizontal="right"/>
    </xf>
    <xf numFmtId="194" fontId="1" fillId="33" borderId="11" xfId="38" applyNumberFormat="1" applyFont="1" applyFill="1" applyBorder="1" applyAlignment="1">
      <alignment horizontal="right"/>
    </xf>
    <xf numFmtId="194" fontId="1" fillId="33" borderId="11" xfId="38" applyNumberFormat="1" applyFont="1" applyFill="1" applyBorder="1" applyAlignment="1">
      <alignment horizontal="center"/>
    </xf>
    <xf numFmtId="194" fontId="1" fillId="33" borderId="16" xfId="38" applyNumberFormat="1" applyFont="1" applyFill="1" applyBorder="1" applyAlignment="1">
      <alignment/>
    </xf>
    <xf numFmtId="194" fontId="1" fillId="33" borderId="20" xfId="38" applyNumberFormat="1" applyFont="1" applyFill="1" applyBorder="1" applyAlignment="1">
      <alignment/>
    </xf>
    <xf numFmtId="43" fontId="25" fillId="33" borderId="17" xfId="38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right"/>
    </xf>
    <xf numFmtId="194" fontId="32" fillId="0" borderId="0" xfId="0" applyNumberFormat="1" applyFont="1" applyAlignment="1">
      <alignment/>
    </xf>
    <xf numFmtId="43" fontId="33" fillId="33" borderId="0" xfId="38" applyNumberFormat="1" applyFont="1" applyFill="1" applyBorder="1" applyAlignment="1">
      <alignment/>
    </xf>
    <xf numFmtId="194" fontId="0" fillId="33" borderId="0" xfId="0" applyNumberFormat="1" applyFill="1" applyAlignment="1">
      <alignment/>
    </xf>
    <xf numFmtId="43" fontId="25" fillId="33" borderId="17" xfId="38" applyFont="1" applyFill="1" applyBorder="1" applyAlignment="1">
      <alignment horizontal="left" indent="2"/>
    </xf>
    <xf numFmtId="0" fontId="1" fillId="33" borderId="13" xfId="0" applyFont="1" applyFill="1" applyBorder="1" applyAlignment="1">
      <alignment horizontal="left"/>
    </xf>
    <xf numFmtId="194" fontId="1" fillId="33" borderId="16" xfId="38" applyNumberFormat="1" applyFont="1" applyFill="1" applyBorder="1" applyAlignment="1">
      <alignment horizontal="center"/>
    </xf>
    <xf numFmtId="194" fontId="1" fillId="33" borderId="13" xfId="38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/>
    </xf>
    <xf numFmtId="49" fontId="1" fillId="33" borderId="15" xfId="0" applyNumberFormat="1" applyFont="1" applyFill="1" applyBorder="1" applyAlignment="1">
      <alignment horizontal="center" vertical="center"/>
    </xf>
    <xf numFmtId="4" fontId="1" fillId="33" borderId="0" xfId="38" applyNumberFormat="1" applyFont="1" applyFill="1" applyBorder="1" applyAlignment="1">
      <alignment horizontal="right"/>
    </xf>
    <xf numFmtId="227" fontId="26" fillId="33" borderId="14" xfId="38" applyNumberFormat="1" applyFont="1" applyFill="1" applyBorder="1" applyAlignment="1">
      <alignment horizontal="center"/>
    </xf>
    <xf numFmtId="227" fontId="26" fillId="33" borderId="17" xfId="38" applyNumberFormat="1" applyFont="1" applyFill="1" applyBorder="1" applyAlignment="1">
      <alignment horizontal="center"/>
    </xf>
    <xf numFmtId="39" fontId="26" fillId="33" borderId="27" xfId="38" applyNumberFormat="1" applyFont="1" applyFill="1" applyBorder="1" applyAlignment="1">
      <alignment horizontal="center" vertical="center"/>
    </xf>
    <xf numFmtId="43" fontId="26" fillId="33" borderId="27" xfId="38" applyFont="1" applyFill="1" applyBorder="1" applyAlignment="1">
      <alignment horizontal="center" vertical="center"/>
    </xf>
    <xf numFmtId="4" fontId="27" fillId="33" borderId="31" xfId="38" applyNumberFormat="1" applyFont="1" applyFill="1" applyBorder="1" applyAlignment="1">
      <alignment horizontal="center" vertical="center"/>
    </xf>
    <xf numFmtId="43" fontId="25" fillId="33" borderId="18" xfId="38" applyFont="1" applyFill="1" applyBorder="1" applyAlignment="1">
      <alignment horizontal="left" indent="2"/>
    </xf>
    <xf numFmtId="0" fontId="1" fillId="33" borderId="22" xfId="0" applyFont="1" applyFill="1" applyBorder="1" applyAlignment="1">
      <alignment horizontal="center" vertical="center"/>
    </xf>
    <xf numFmtId="43" fontId="25" fillId="33" borderId="10" xfId="38" applyFont="1" applyFill="1" applyBorder="1" applyAlignment="1">
      <alignment horizontal="center"/>
    </xf>
    <xf numFmtId="43" fontId="25" fillId="33" borderId="0" xfId="38" applyFont="1" applyFill="1" applyAlignment="1">
      <alignment horizontal="center"/>
    </xf>
    <xf numFmtId="4" fontId="25" fillId="33" borderId="23" xfId="38" applyNumberFormat="1" applyFont="1" applyFill="1" applyBorder="1" applyAlignment="1">
      <alignment horizontal="center"/>
    </xf>
    <xf numFmtId="4" fontId="25" fillId="33" borderId="0" xfId="38" applyNumberFormat="1" applyFont="1" applyFill="1" applyBorder="1" applyAlignment="1">
      <alignment horizontal="center"/>
    </xf>
    <xf numFmtId="4" fontId="25" fillId="33" borderId="0" xfId="38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227" fontId="35" fillId="0" borderId="17" xfId="38" applyNumberFormat="1" applyFont="1" applyFill="1" applyBorder="1" applyAlignment="1" applyProtection="1">
      <alignment horizontal="center"/>
      <protection/>
    </xf>
    <xf numFmtId="43" fontId="35" fillId="0" borderId="17" xfId="38" applyFont="1" applyFill="1" applyBorder="1" applyAlignment="1" applyProtection="1">
      <alignment horizontal="center"/>
      <protection/>
    </xf>
    <xf numFmtId="43" fontId="26" fillId="33" borderId="14" xfId="38" applyFont="1" applyFill="1" applyBorder="1" applyAlignment="1">
      <alignment horizontal="center"/>
    </xf>
    <xf numFmtId="43" fontId="26" fillId="33" borderId="14" xfId="38" applyFont="1" applyFill="1" applyBorder="1" applyAlignment="1">
      <alignment/>
    </xf>
    <xf numFmtId="43" fontId="26" fillId="33" borderId="17" xfId="38" applyFont="1" applyFill="1" applyBorder="1" applyAlignment="1">
      <alignment horizontal="center"/>
    </xf>
    <xf numFmtId="49" fontId="1" fillId="33" borderId="22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3" fontId="24" fillId="33" borderId="10" xfId="38" applyFont="1" applyFill="1" applyBorder="1" applyAlignment="1">
      <alignment horizontal="right"/>
    </xf>
    <xf numFmtId="43" fontId="35" fillId="0" borderId="17" xfId="38" applyFont="1" applyFill="1" applyBorder="1" applyAlignment="1" applyProtection="1">
      <alignment horizontal="right" vertical="center"/>
      <protection/>
    </xf>
    <xf numFmtId="4" fontId="26" fillId="33" borderId="17" xfId="38" applyNumberFormat="1" applyFont="1" applyFill="1" applyBorder="1" applyAlignment="1">
      <alignment horizontal="right"/>
    </xf>
    <xf numFmtId="4" fontId="26" fillId="33" borderId="18" xfId="38" applyNumberFormat="1" applyFont="1" applyFill="1" applyBorder="1" applyAlignment="1">
      <alignment horizontal="right"/>
    </xf>
    <xf numFmtId="4" fontId="26" fillId="33" borderId="27" xfId="38" applyNumberFormat="1" applyFont="1" applyFill="1" applyBorder="1" applyAlignment="1">
      <alignment horizontal="right"/>
    </xf>
    <xf numFmtId="43" fontId="26" fillId="33" borderId="14" xfId="38" applyFont="1" applyFill="1" applyBorder="1" applyAlignment="1">
      <alignment horizontal="right"/>
    </xf>
    <xf numFmtId="43" fontId="26" fillId="33" borderId="17" xfId="38" applyFont="1" applyFill="1" applyBorder="1" applyAlignment="1">
      <alignment horizontal="right"/>
    </xf>
    <xf numFmtId="43" fontId="26" fillId="33" borderId="18" xfId="38" applyFont="1" applyFill="1" applyBorder="1" applyAlignment="1">
      <alignment horizontal="right"/>
    </xf>
    <xf numFmtId="4" fontId="26" fillId="33" borderId="32" xfId="38" applyNumberFormat="1" applyFont="1" applyFill="1" applyBorder="1" applyAlignment="1">
      <alignment horizontal="right"/>
    </xf>
    <xf numFmtId="4" fontId="26" fillId="33" borderId="27" xfId="38" applyNumberFormat="1" applyFont="1" applyFill="1" applyBorder="1" applyAlignment="1">
      <alignment horizontal="right" vertical="center"/>
    </xf>
    <xf numFmtId="4" fontId="26" fillId="33" borderId="28" xfId="38" applyNumberFormat="1" applyFont="1" applyFill="1" applyBorder="1" applyAlignment="1">
      <alignment horizontal="right"/>
    </xf>
    <xf numFmtId="4" fontId="26" fillId="33" borderId="0" xfId="38" applyNumberFormat="1" applyFont="1" applyFill="1" applyBorder="1" applyAlignment="1">
      <alignment horizontal="right" vertical="center"/>
    </xf>
    <xf numFmtId="43" fontId="24" fillId="33" borderId="0" xfId="38" applyFont="1" applyFill="1" applyAlignment="1">
      <alignment horizontal="right"/>
    </xf>
    <xf numFmtId="4" fontId="26" fillId="33" borderId="14" xfId="38" applyNumberFormat="1" applyFont="1" applyFill="1" applyBorder="1" applyAlignment="1">
      <alignment horizontal="right"/>
    </xf>
    <xf numFmtId="4" fontId="29" fillId="33" borderId="23" xfId="38" applyNumberFormat="1" applyFont="1" applyFill="1" applyBorder="1" applyAlignment="1">
      <alignment horizontal="right"/>
    </xf>
    <xf numFmtId="4" fontId="29" fillId="33" borderId="0" xfId="38" applyNumberFormat="1" applyFont="1" applyFill="1" applyBorder="1" applyAlignment="1">
      <alignment horizontal="right"/>
    </xf>
    <xf numFmtId="4" fontId="26" fillId="33" borderId="14" xfId="0" applyNumberFormat="1" applyFont="1" applyFill="1" applyBorder="1" applyAlignment="1">
      <alignment horizontal="right" vertical="center"/>
    </xf>
    <xf numFmtId="4" fontId="26" fillId="33" borderId="16" xfId="38" applyNumberFormat="1" applyFont="1" applyFill="1" applyBorder="1" applyAlignment="1">
      <alignment horizontal="right"/>
    </xf>
    <xf numFmtId="4" fontId="29" fillId="33" borderId="0" xfId="38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0" fillId="33" borderId="0" xfId="0" applyFill="1" applyAlignment="1">
      <alignment horizontal="right"/>
    </xf>
    <xf numFmtId="43" fontId="26" fillId="33" borderId="17" xfId="38" applyFont="1" applyFill="1" applyBorder="1" applyAlignment="1">
      <alignment horizontal="center" vertical="center"/>
    </xf>
    <xf numFmtId="4" fontId="26" fillId="33" borderId="17" xfId="0" applyNumberFormat="1" applyFont="1" applyFill="1" applyBorder="1" applyAlignment="1">
      <alignment/>
    </xf>
    <xf numFmtId="4" fontId="26" fillId="33" borderId="33" xfId="38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5" fillId="33" borderId="21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209" fontId="5" fillId="33" borderId="16" xfId="38" applyNumberFormat="1" applyFont="1" applyFill="1" applyBorder="1" applyAlignment="1">
      <alignment/>
    </xf>
    <xf numFmtId="209" fontId="5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left" indent="6"/>
    </xf>
    <xf numFmtId="209" fontId="37" fillId="33" borderId="16" xfId="0" applyNumberFormat="1" applyFont="1" applyFill="1" applyBorder="1" applyAlignment="1">
      <alignment/>
    </xf>
    <xf numFmtId="0" fontId="38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205" fontId="5" fillId="33" borderId="24" xfId="38" applyNumberFormat="1" applyFont="1" applyFill="1" applyBorder="1" applyAlignment="1">
      <alignment/>
    </xf>
    <xf numFmtId="0" fontId="38" fillId="33" borderId="11" xfId="0" applyFont="1" applyFill="1" applyBorder="1" applyAlignment="1">
      <alignment/>
    </xf>
    <xf numFmtId="205" fontId="5" fillId="33" borderId="13" xfId="38" applyNumberFormat="1" applyFont="1" applyFill="1" applyBorder="1" applyAlignment="1">
      <alignment/>
    </xf>
    <xf numFmtId="0" fontId="5" fillId="33" borderId="22" xfId="0" applyFont="1" applyFill="1" applyBorder="1" applyAlignment="1">
      <alignment/>
    </xf>
    <xf numFmtId="229" fontId="5" fillId="33" borderId="13" xfId="0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2" fontId="36" fillId="33" borderId="0" xfId="0" applyNumberFormat="1" applyFont="1" applyFill="1" applyAlignment="1">
      <alignment/>
    </xf>
    <xf numFmtId="0" fontId="39" fillId="33" borderId="0" xfId="0" applyFont="1" applyFill="1" applyAlignment="1">
      <alignment/>
    </xf>
    <xf numFmtId="0" fontId="39" fillId="33" borderId="21" xfId="0" applyFont="1" applyFill="1" applyBorder="1" applyAlignment="1">
      <alignment horizontal="center"/>
    </xf>
    <xf numFmtId="49" fontId="39" fillId="33" borderId="17" xfId="0" applyNumberFormat="1" applyFont="1" applyFill="1" applyBorder="1" applyAlignment="1">
      <alignment horizontal="center"/>
    </xf>
    <xf numFmtId="0" fontId="39" fillId="33" borderId="16" xfId="0" applyFont="1" applyFill="1" applyBorder="1" applyAlignment="1">
      <alignment/>
    </xf>
    <xf numFmtId="49" fontId="39" fillId="33" borderId="18" xfId="0" applyNumberFormat="1" applyFont="1" applyFill="1" applyBorder="1" applyAlignment="1">
      <alignment horizontal="center"/>
    </xf>
    <xf numFmtId="205" fontId="39" fillId="33" borderId="18" xfId="38" applyNumberFormat="1" applyFont="1" applyFill="1" applyBorder="1" applyAlignment="1">
      <alignment horizontal="right"/>
    </xf>
    <xf numFmtId="207" fontId="39" fillId="33" borderId="0" xfId="0" applyNumberFormat="1" applyFont="1" applyFill="1" applyBorder="1" applyAlignment="1">
      <alignment horizontal="center"/>
    </xf>
    <xf numFmtId="0" fontId="39" fillId="33" borderId="18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39" fillId="33" borderId="16" xfId="0" applyFont="1" applyFill="1" applyBorder="1" applyAlignment="1">
      <alignment horizontal="left" indent="4"/>
    </xf>
    <xf numFmtId="49" fontId="39" fillId="33" borderId="16" xfId="0" applyNumberFormat="1" applyFont="1" applyFill="1" applyBorder="1" applyAlignment="1">
      <alignment horizontal="center"/>
    </xf>
    <xf numFmtId="205" fontId="39" fillId="33" borderId="16" xfId="38" applyNumberFormat="1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205" fontId="39" fillId="33" borderId="16" xfId="38" applyNumberFormat="1" applyFont="1" applyFill="1" applyBorder="1" applyAlignment="1">
      <alignment horizontal="right"/>
    </xf>
    <xf numFmtId="205" fontId="39" fillId="33" borderId="16" xfId="38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6" xfId="0" applyFont="1" applyFill="1" applyBorder="1" applyAlignment="1">
      <alignment horizontal="left"/>
    </xf>
    <xf numFmtId="0" fontId="39" fillId="33" borderId="12" xfId="0" applyFont="1" applyFill="1" applyBorder="1" applyAlignment="1">
      <alignment/>
    </xf>
    <xf numFmtId="49" fontId="39" fillId="33" borderId="14" xfId="0" applyNumberFormat="1" applyFont="1" applyFill="1" applyBorder="1" applyAlignment="1">
      <alignment horizontal="center"/>
    </xf>
    <xf numFmtId="205" fontId="39" fillId="33" borderId="10" xfId="0" applyNumberFormat="1" applyFont="1" applyFill="1" applyBorder="1" applyAlignment="1">
      <alignment/>
    </xf>
    <xf numFmtId="0" fontId="39" fillId="33" borderId="14" xfId="0" applyFont="1" applyFill="1" applyBorder="1" applyAlignment="1">
      <alignment horizontal="center"/>
    </xf>
    <xf numFmtId="205" fontId="39" fillId="33" borderId="10" xfId="38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49" fontId="39" fillId="33" borderId="0" xfId="0" applyNumberFormat="1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205" fontId="39" fillId="33" borderId="0" xfId="38" applyNumberFormat="1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3" borderId="11" xfId="0" applyFont="1" applyFill="1" applyBorder="1" applyAlignment="1">
      <alignment horizontal="left"/>
    </xf>
    <xf numFmtId="43" fontId="39" fillId="33" borderId="0" xfId="0" applyNumberFormat="1" applyFont="1" applyFill="1" applyBorder="1" applyAlignment="1">
      <alignment horizontal="center"/>
    </xf>
    <xf numFmtId="0" fontId="39" fillId="33" borderId="11" xfId="0" applyFont="1" applyFill="1" applyBorder="1" applyAlignment="1" quotePrefix="1">
      <alignment horizontal="left" indent="8"/>
    </xf>
    <xf numFmtId="0" fontId="39" fillId="33" borderId="10" xfId="0" applyFont="1" applyFill="1" applyBorder="1" applyAlignment="1">
      <alignment/>
    </xf>
    <xf numFmtId="0" fontId="39" fillId="33" borderId="15" xfId="0" applyFont="1" applyFill="1" applyBorder="1" applyAlignment="1">
      <alignment/>
    </xf>
    <xf numFmtId="0" fontId="39" fillId="33" borderId="23" xfId="0" applyFont="1" applyFill="1" applyBorder="1" applyAlignment="1">
      <alignment/>
    </xf>
    <xf numFmtId="205" fontId="39" fillId="33" borderId="18" xfId="38" applyNumberFormat="1" applyFont="1" applyFill="1" applyBorder="1" applyAlignment="1">
      <alignment/>
    </xf>
    <xf numFmtId="41" fontId="39" fillId="33" borderId="0" xfId="0" applyNumberFormat="1" applyFont="1" applyFill="1" applyBorder="1" applyAlignment="1">
      <alignment horizontal="center"/>
    </xf>
    <xf numFmtId="41" fontId="39" fillId="33" borderId="16" xfId="0" applyNumberFormat="1" applyFont="1" applyFill="1" applyBorder="1" applyAlignment="1">
      <alignment horizontal="center"/>
    </xf>
    <xf numFmtId="49" fontId="39" fillId="33" borderId="13" xfId="0" applyNumberFormat="1" applyFont="1" applyFill="1" applyBorder="1" applyAlignment="1">
      <alignment horizontal="center"/>
    </xf>
    <xf numFmtId="205" fontId="39" fillId="33" borderId="0" xfId="0" applyNumberFormat="1" applyFont="1" applyFill="1" applyBorder="1" applyAlignment="1">
      <alignment/>
    </xf>
    <xf numFmtId="0" fontId="39" fillId="33" borderId="16" xfId="0" applyFont="1" applyFill="1" applyBorder="1" applyAlignment="1">
      <alignment horizontal="left" indent="5"/>
    </xf>
    <xf numFmtId="3" fontId="39" fillId="33" borderId="0" xfId="0" applyNumberFormat="1" applyFont="1" applyFill="1" applyBorder="1" applyAlignment="1">
      <alignment horizontal="center"/>
    </xf>
    <xf numFmtId="1" fontId="39" fillId="33" borderId="16" xfId="0" applyNumberFormat="1" applyFont="1" applyFill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194" fontId="5" fillId="33" borderId="16" xfId="38" applyNumberFormat="1" applyFont="1" applyFill="1" applyBorder="1" applyAlignment="1">
      <alignment/>
    </xf>
    <xf numFmtId="192" fontId="39" fillId="33" borderId="0" xfId="0" applyNumberFormat="1" applyFont="1" applyFill="1" applyBorder="1" applyAlignment="1">
      <alignment horizontal="center"/>
    </xf>
    <xf numFmtId="192" fontId="39" fillId="33" borderId="16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/>
    </xf>
    <xf numFmtId="228" fontId="26" fillId="33" borderId="17" xfId="38" applyNumberFormat="1" applyFont="1" applyFill="1" applyBorder="1" applyAlignment="1">
      <alignment horizontal="center"/>
    </xf>
    <xf numFmtId="228" fontId="26" fillId="33" borderId="17" xfId="38" applyNumberFormat="1" applyFont="1" applyFill="1" applyBorder="1" applyAlignment="1">
      <alignment horizontal="center" vertical="center"/>
    </xf>
    <xf numFmtId="228" fontId="26" fillId="33" borderId="18" xfId="38" applyNumberFormat="1" applyFont="1" applyFill="1" applyBorder="1" applyAlignment="1">
      <alignment horizontal="center"/>
    </xf>
    <xf numFmtId="228" fontId="26" fillId="33" borderId="18" xfId="38" applyNumberFormat="1" applyFont="1" applyFill="1" applyBorder="1" applyAlignment="1">
      <alignment horizontal="center" vertical="center"/>
    </xf>
    <xf numFmtId="228" fontId="26" fillId="33" borderId="29" xfId="38" applyNumberFormat="1" applyFont="1" applyFill="1" applyBorder="1" applyAlignment="1">
      <alignment horizontal="center" vertical="center"/>
    </xf>
    <xf numFmtId="228" fontId="26" fillId="33" borderId="27" xfId="38" applyNumberFormat="1" applyFont="1" applyFill="1" applyBorder="1" applyAlignment="1">
      <alignment horizontal="center" vertical="center"/>
    </xf>
    <xf numFmtId="228" fontId="26" fillId="33" borderId="27" xfId="38" applyNumberFormat="1" applyFont="1" applyFill="1" applyBorder="1" applyAlignment="1">
      <alignment horizontal="right" vertical="center"/>
    </xf>
    <xf numFmtId="43" fontId="42" fillId="33" borderId="0" xfId="38" applyFont="1" applyFill="1" applyAlignment="1">
      <alignment/>
    </xf>
    <xf numFmtId="194" fontId="23" fillId="0" borderId="0" xfId="0" applyNumberFormat="1" applyFont="1" applyBorder="1" applyAlignment="1">
      <alignment/>
    </xf>
    <xf numFmtId="194" fontId="20" fillId="0" borderId="25" xfId="0" applyNumberFormat="1" applyFont="1" applyBorder="1" applyAlignment="1">
      <alignment/>
    </xf>
    <xf numFmtId="194" fontId="18" fillId="0" borderId="0" xfId="0" applyNumberFormat="1" applyFont="1" applyAlignment="1">
      <alignment/>
    </xf>
    <xf numFmtId="209" fontId="0" fillId="0" borderId="0" xfId="0" applyNumberFormat="1" applyBorder="1" applyAlignment="1">
      <alignment/>
    </xf>
    <xf numFmtId="209" fontId="0" fillId="33" borderId="0" xfId="0" applyNumberFormat="1" applyFill="1" applyBorder="1" applyAlignment="1">
      <alignment/>
    </xf>
    <xf numFmtId="43" fontId="43" fillId="0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5" fillId="33" borderId="17" xfId="0" applyNumberFormat="1" applyFont="1" applyFill="1" applyBorder="1" applyAlignment="1">
      <alignment horizontal="center"/>
    </xf>
    <xf numFmtId="49" fontId="5" fillId="33" borderId="18" xfId="0" applyNumberFormat="1" applyFont="1" applyFill="1" applyBorder="1" applyAlignment="1">
      <alignment horizontal="center"/>
    </xf>
    <xf numFmtId="209" fontId="5" fillId="33" borderId="18" xfId="38" applyNumberFormat="1" applyFont="1" applyFill="1" applyBorder="1" applyAlignment="1">
      <alignment horizontal="right"/>
    </xf>
    <xf numFmtId="0" fontId="5" fillId="33" borderId="16" xfId="0" applyFont="1" applyFill="1" applyBorder="1" applyAlignment="1">
      <alignment horizontal="left" indent="4"/>
    </xf>
    <xf numFmtId="205" fontId="5" fillId="33" borderId="16" xfId="38" applyNumberFormat="1" applyFont="1" applyFill="1" applyBorder="1" applyAlignment="1">
      <alignment/>
    </xf>
    <xf numFmtId="209" fontId="5" fillId="33" borderId="16" xfId="38" applyNumberFormat="1" applyFont="1" applyFill="1" applyBorder="1" applyAlignment="1">
      <alignment horizontal="right"/>
    </xf>
    <xf numFmtId="205" fontId="5" fillId="33" borderId="16" xfId="38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205" fontId="5" fillId="33" borderId="14" xfId="38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center"/>
    </xf>
    <xf numFmtId="205" fontId="5" fillId="33" borderId="0" xfId="38" applyNumberFormat="1" applyFont="1" applyFill="1" applyBorder="1" applyAlignment="1">
      <alignment/>
    </xf>
    <xf numFmtId="0" fontId="5" fillId="33" borderId="11" xfId="0" applyFont="1" applyFill="1" applyBorder="1" applyAlignment="1" quotePrefix="1">
      <alignment horizontal="left" indent="8"/>
    </xf>
    <xf numFmtId="0" fontId="5" fillId="33" borderId="16" xfId="0" applyFont="1" applyFill="1" applyBorder="1" applyAlignment="1">
      <alignment horizontal="left" indent="5"/>
    </xf>
    <xf numFmtId="209" fontId="5" fillId="33" borderId="16" xfId="38" applyNumberFormat="1" applyFont="1" applyFill="1" applyBorder="1" applyAlignment="1">
      <alignment horizontal="center"/>
    </xf>
    <xf numFmtId="205" fontId="5" fillId="33" borderId="14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left" indent="2"/>
    </xf>
    <xf numFmtId="209" fontId="5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38" fillId="33" borderId="11" xfId="0" applyFont="1" applyFill="1" applyBorder="1" applyAlignment="1">
      <alignment horizontal="left" indent="2"/>
    </xf>
    <xf numFmtId="43" fontId="5" fillId="33" borderId="16" xfId="38" applyNumberFormat="1" applyFont="1" applyFill="1" applyBorder="1" applyAlignment="1">
      <alignment/>
    </xf>
    <xf numFmtId="43" fontId="37" fillId="33" borderId="14" xfId="0" applyNumberFormat="1" applyFont="1" applyFill="1" applyBorder="1" applyAlignment="1">
      <alignment/>
    </xf>
    <xf numFmtId="43" fontId="37" fillId="33" borderId="14" xfId="38" applyNumberFormat="1" applyFont="1" applyFill="1" applyBorder="1" applyAlignment="1">
      <alignment/>
    </xf>
    <xf numFmtId="4" fontId="5" fillId="33" borderId="16" xfId="38" applyNumberFormat="1" applyFont="1" applyFill="1" applyBorder="1" applyAlignment="1">
      <alignment horizontal="right"/>
    </xf>
    <xf numFmtId="209" fontId="37" fillId="33" borderId="16" xfId="38" applyNumberFormat="1" applyFont="1" applyFill="1" applyBorder="1" applyAlignment="1">
      <alignment horizontal="right"/>
    </xf>
    <xf numFmtId="209" fontId="37" fillId="33" borderId="16" xfId="38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/>
    </xf>
    <xf numFmtId="194" fontId="1" fillId="33" borderId="16" xfId="38" applyNumberFormat="1" applyFont="1" applyFill="1" applyBorder="1" applyAlignment="1">
      <alignment horizontal="right"/>
    </xf>
    <xf numFmtId="4" fontId="1" fillId="33" borderId="16" xfId="38" applyNumberFormat="1" applyFont="1" applyFill="1" applyBorder="1" applyAlignment="1">
      <alignment/>
    </xf>
    <xf numFmtId="4" fontId="1" fillId="33" borderId="14" xfId="38" applyNumberFormat="1" applyFont="1" applyFill="1" applyBorder="1" applyAlignment="1">
      <alignment/>
    </xf>
    <xf numFmtId="4" fontId="1" fillId="33" borderId="20" xfId="38" applyNumberFormat="1" applyFont="1" applyFill="1" applyBorder="1" applyAlignment="1">
      <alignment/>
    </xf>
    <xf numFmtId="194" fontId="1" fillId="33" borderId="22" xfId="38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 vertical="center"/>
    </xf>
    <xf numFmtId="4" fontId="1" fillId="33" borderId="0" xfId="38" applyNumberFormat="1" applyFont="1" applyFill="1" applyBorder="1" applyAlignment="1">
      <alignment/>
    </xf>
    <xf numFmtId="4" fontId="1" fillId="33" borderId="23" xfId="38" applyNumberFormat="1" applyFont="1" applyFill="1" applyBorder="1" applyAlignment="1">
      <alignment horizontal="right"/>
    </xf>
    <xf numFmtId="0" fontId="1" fillId="33" borderId="18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 indent="5"/>
    </xf>
    <xf numFmtId="4" fontId="39" fillId="33" borderId="0" xfId="0" applyNumberFormat="1" applyFont="1" applyFill="1" applyBorder="1" applyAlignment="1">
      <alignment/>
    </xf>
    <xf numFmtId="0" fontId="39" fillId="33" borderId="0" xfId="0" applyFont="1" applyFill="1" applyBorder="1" applyAlignment="1">
      <alignment horizontal="left"/>
    </xf>
    <xf numFmtId="4" fontId="39" fillId="33" borderId="24" xfId="38" applyNumberFormat="1" applyFont="1" applyFill="1" applyBorder="1" applyAlignment="1">
      <alignment/>
    </xf>
    <xf numFmtId="205" fontId="39" fillId="33" borderId="13" xfId="38" applyNumberFormat="1" applyFont="1" applyFill="1" applyBorder="1" applyAlignment="1">
      <alignment/>
    </xf>
    <xf numFmtId="49" fontId="26" fillId="33" borderId="21" xfId="38" applyNumberFormat="1" applyFont="1" applyFill="1" applyBorder="1" applyAlignment="1">
      <alignment horizontal="left"/>
    </xf>
    <xf numFmtId="49" fontId="26" fillId="33" borderId="19" xfId="38" applyNumberFormat="1" applyFont="1" applyFill="1" applyBorder="1" applyAlignment="1">
      <alignment horizontal="left"/>
    </xf>
    <xf numFmtId="4" fontId="44" fillId="33" borderId="27" xfId="38" applyNumberFormat="1" applyFont="1" applyFill="1" applyBorder="1" applyAlignment="1">
      <alignment horizontal="center" vertical="center"/>
    </xf>
    <xf numFmtId="228" fontId="44" fillId="33" borderId="29" xfId="38" applyNumberFormat="1" applyFont="1" applyFill="1" applyBorder="1" applyAlignment="1">
      <alignment horizontal="center" vertical="center"/>
    </xf>
    <xf numFmtId="228" fontId="44" fillId="33" borderId="27" xfId="38" applyNumberFormat="1" applyFont="1" applyFill="1" applyBorder="1" applyAlignment="1">
      <alignment horizontal="center" vertical="center"/>
    </xf>
    <xf numFmtId="4" fontId="44" fillId="33" borderId="14" xfId="38" applyNumberFormat="1" applyFont="1" applyFill="1" applyBorder="1" applyAlignment="1">
      <alignment horizontal="center"/>
    </xf>
    <xf numFmtId="4" fontId="44" fillId="33" borderId="17" xfId="38" applyNumberFormat="1" applyFont="1" applyFill="1" applyBorder="1" applyAlignment="1">
      <alignment horizontal="center"/>
    </xf>
    <xf numFmtId="4" fontId="44" fillId="33" borderId="30" xfId="38" applyNumberFormat="1" applyFont="1" applyFill="1" applyBorder="1" applyAlignment="1">
      <alignment horizontal="center"/>
    </xf>
    <xf numFmtId="4" fontId="44" fillId="33" borderId="29" xfId="38" applyNumberFormat="1" applyFont="1" applyFill="1" applyBorder="1" applyAlignment="1">
      <alignment horizontal="center" vertical="center"/>
    </xf>
    <xf numFmtId="4" fontId="44" fillId="33" borderId="14" xfId="0" applyNumberFormat="1" applyFont="1" applyFill="1" applyBorder="1" applyAlignment="1">
      <alignment horizontal="right" vertical="center"/>
    </xf>
    <xf numFmtId="192" fontId="5" fillId="33" borderId="16" xfId="38" applyNumberFormat="1" applyFont="1" applyFill="1" applyBorder="1" applyAlignment="1">
      <alignment/>
    </xf>
    <xf numFmtId="0" fontId="39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43" fontId="86" fillId="33" borderId="14" xfId="0" applyNumberFormat="1" applyFont="1" applyFill="1" applyBorder="1" applyAlignment="1">
      <alignment/>
    </xf>
    <xf numFmtId="43" fontId="86" fillId="33" borderId="14" xfId="38" applyNumberFormat="1" applyFont="1" applyFill="1" applyBorder="1" applyAlignment="1">
      <alignment/>
    </xf>
    <xf numFmtId="4" fontId="1" fillId="33" borderId="16" xfId="38" applyNumberFormat="1" applyFont="1" applyFill="1" applyBorder="1" applyAlignment="1">
      <alignment/>
    </xf>
    <xf numFmtId="209" fontId="36" fillId="33" borderId="0" xfId="0" applyNumberFormat="1" applyFont="1" applyFill="1" applyAlignment="1">
      <alignment/>
    </xf>
    <xf numFmtId="194" fontId="5" fillId="33" borderId="13" xfId="38" applyNumberFormat="1" applyFont="1" applyFill="1" applyBorder="1" applyAlignment="1">
      <alignment/>
    </xf>
    <xf numFmtId="209" fontId="87" fillId="33" borderId="0" xfId="0" applyNumberFormat="1" applyFont="1" applyFill="1" applyAlignment="1">
      <alignment/>
    </xf>
    <xf numFmtId="209" fontId="70" fillId="33" borderId="16" xfId="38" applyNumberFormat="1" applyFont="1" applyFill="1" applyBorder="1" applyAlignment="1">
      <alignment/>
    </xf>
    <xf numFmtId="209" fontId="70" fillId="33" borderId="16" xfId="0" applyNumberFormat="1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209" fontId="69" fillId="33" borderId="16" xfId="38" applyNumberFormat="1" applyFont="1" applyFill="1" applyBorder="1" applyAlignment="1">
      <alignment/>
    </xf>
    <xf numFmtId="209" fontId="69" fillId="33" borderId="16" xfId="0" applyNumberFormat="1" applyFont="1" applyFill="1" applyBorder="1" applyAlignment="1">
      <alignment/>
    </xf>
    <xf numFmtId="0" fontId="88" fillId="33" borderId="0" xfId="0" applyFont="1" applyFill="1" applyAlignment="1">
      <alignment/>
    </xf>
    <xf numFmtId="229" fontId="5" fillId="33" borderId="0" xfId="0" applyNumberFormat="1" applyFont="1" applyFill="1" applyBorder="1" applyAlignment="1">
      <alignment/>
    </xf>
    <xf numFmtId="194" fontId="70" fillId="33" borderId="13" xfId="38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 quotePrefix="1">
      <alignment horizontal="left" vertical="center" indent="6"/>
    </xf>
    <xf numFmtId="0" fontId="1" fillId="33" borderId="12" xfId="0" applyFont="1" applyFill="1" applyBorder="1" applyAlignment="1" quotePrefix="1">
      <alignment horizontal="left" vertical="center" indent="5"/>
    </xf>
    <xf numFmtId="43" fontId="1" fillId="33" borderId="10" xfId="38" applyFont="1" applyFill="1" applyBorder="1" applyAlignment="1">
      <alignment/>
    </xf>
    <xf numFmtId="43" fontId="1" fillId="33" borderId="34" xfId="0" applyNumberFormat="1" applyFont="1" applyFill="1" applyBorder="1" applyAlignment="1">
      <alignment/>
    </xf>
    <xf numFmtId="43" fontId="42" fillId="33" borderId="0" xfId="38" applyFont="1" applyFill="1" applyBorder="1" applyAlignment="1">
      <alignment/>
    </xf>
    <xf numFmtId="43" fontId="42" fillId="33" borderId="0" xfId="0" applyNumberFormat="1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3" borderId="24" xfId="0" applyFont="1" applyFill="1" applyBorder="1" applyAlignment="1">
      <alignment/>
    </xf>
    <xf numFmtId="43" fontId="1" fillId="33" borderId="14" xfId="0" applyNumberFormat="1" applyFont="1" applyFill="1" applyBorder="1" applyAlignment="1">
      <alignment horizontal="center"/>
    </xf>
    <xf numFmtId="43" fontId="1" fillId="33" borderId="14" xfId="0" applyNumberFormat="1" applyFont="1" applyFill="1" applyBorder="1" applyAlignment="1">
      <alignment horizontal="right"/>
    </xf>
    <xf numFmtId="43" fontId="1" fillId="33" borderId="16" xfId="0" applyNumberFormat="1" applyFont="1" applyFill="1" applyBorder="1" applyAlignment="1">
      <alignment horizontal="center"/>
    </xf>
    <xf numFmtId="43" fontId="1" fillId="33" borderId="16" xfId="0" applyNumberFormat="1" applyFont="1" applyFill="1" applyBorder="1" applyAlignment="1">
      <alignment horizontal="right"/>
    </xf>
    <xf numFmtId="49" fontId="20" fillId="0" borderId="0" xfId="0" applyNumberFormat="1" applyFont="1" applyAlignment="1">
      <alignment horizontal="center"/>
    </xf>
    <xf numFmtId="209" fontId="8" fillId="33" borderId="0" xfId="38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209" fontId="89" fillId="0" borderId="0" xfId="0" applyNumberFormat="1" applyFont="1" applyFill="1" applyBorder="1" applyAlignment="1">
      <alignment horizontal="center"/>
    </xf>
    <xf numFmtId="194" fontId="1" fillId="33" borderId="0" xfId="38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194" fontId="1" fillId="33" borderId="10" xfId="38" applyNumberFormat="1" applyFont="1" applyFill="1" applyBorder="1" applyAlignment="1">
      <alignment/>
    </xf>
    <xf numFmtId="0" fontId="1" fillId="33" borderId="12" xfId="0" applyFont="1" applyFill="1" applyBorder="1" applyAlignment="1" quotePrefix="1">
      <alignment horizontal="left" vertical="center" indent="6"/>
    </xf>
    <xf numFmtId="0" fontId="12" fillId="33" borderId="12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/>
    </xf>
    <xf numFmtId="0" fontId="12" fillId="33" borderId="12" xfId="0" applyFont="1" applyFill="1" applyBorder="1" applyAlignment="1" quotePrefix="1">
      <alignment horizontal="left" vertical="center" indent="6"/>
    </xf>
    <xf numFmtId="0" fontId="12" fillId="33" borderId="10" xfId="0" applyFont="1" applyFill="1" applyBorder="1" applyAlignment="1">
      <alignment horizontal="left" vertical="center"/>
    </xf>
    <xf numFmtId="4" fontId="12" fillId="33" borderId="14" xfId="0" applyNumberFormat="1" applyFont="1" applyFill="1" applyBorder="1" applyAlignment="1">
      <alignment horizontal="right" vertical="center"/>
    </xf>
    <xf numFmtId="43" fontId="1" fillId="33" borderId="0" xfId="38" applyFont="1" applyFill="1" applyAlignment="1">
      <alignment horizontal="center"/>
    </xf>
    <xf numFmtId="236" fontId="0" fillId="33" borderId="0" xfId="0" applyNumberFormat="1" applyFill="1" applyAlignment="1">
      <alignment/>
    </xf>
    <xf numFmtId="209" fontId="1" fillId="0" borderId="0" xfId="0" applyNumberFormat="1" applyFont="1" applyAlignment="1">
      <alignment/>
    </xf>
    <xf numFmtId="43" fontId="1" fillId="33" borderId="0" xfId="38" applyFont="1" applyFill="1" applyBorder="1" applyAlignment="1">
      <alignment/>
    </xf>
    <xf numFmtId="43" fontId="36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90" fillId="33" borderId="28" xfId="38" applyNumberFormat="1" applyFont="1" applyFill="1" applyBorder="1" applyAlignment="1">
      <alignment horizontal="center"/>
    </xf>
    <xf numFmtId="4" fontId="90" fillId="33" borderId="27" xfId="38" applyNumberFormat="1" applyFont="1" applyFill="1" applyBorder="1" applyAlignment="1">
      <alignment horizontal="center"/>
    </xf>
    <xf numFmtId="4" fontId="90" fillId="33" borderId="27" xfId="38" applyNumberFormat="1" applyFont="1" applyFill="1" applyBorder="1" applyAlignment="1">
      <alignment horizontal="center" vertical="center"/>
    </xf>
    <xf numFmtId="43" fontId="45" fillId="33" borderId="0" xfId="38" applyNumberFormat="1" applyFont="1" applyFill="1" applyAlignment="1">
      <alignment/>
    </xf>
    <xf numFmtId="228" fontId="90" fillId="33" borderId="29" xfId="38" applyNumberFormat="1" applyFont="1" applyFill="1" applyBorder="1" applyAlignment="1">
      <alignment horizontal="center" vertical="center"/>
    </xf>
    <xf numFmtId="228" fontId="91" fillId="33" borderId="29" xfId="38" applyNumberFormat="1" applyFont="1" applyFill="1" applyBorder="1" applyAlignment="1">
      <alignment horizontal="center" vertical="center"/>
    </xf>
    <xf numFmtId="228" fontId="90" fillId="33" borderId="27" xfId="38" applyNumberFormat="1" applyFont="1" applyFill="1" applyBorder="1" applyAlignment="1">
      <alignment horizontal="center" vertical="center"/>
    </xf>
    <xf numFmtId="228" fontId="91" fillId="33" borderId="27" xfId="38" applyNumberFormat="1" applyFont="1" applyFill="1" applyBorder="1" applyAlignment="1">
      <alignment horizontal="center" vertical="center"/>
    </xf>
    <xf numFmtId="4" fontId="90" fillId="33" borderId="14" xfId="38" applyNumberFormat="1" applyFont="1" applyFill="1" applyBorder="1" applyAlignment="1">
      <alignment horizontal="center"/>
    </xf>
    <xf numFmtId="4" fontId="90" fillId="33" borderId="17" xfId="38" applyNumberFormat="1" applyFont="1" applyFill="1" applyBorder="1" applyAlignment="1">
      <alignment horizontal="center"/>
    </xf>
    <xf numFmtId="0" fontId="92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5" fillId="33" borderId="35" xfId="0" applyFont="1" applyFill="1" applyBorder="1" applyAlignment="1">
      <alignment/>
    </xf>
    <xf numFmtId="0" fontId="36" fillId="33" borderId="11" xfId="0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6" fillId="33" borderId="13" xfId="0" applyFont="1" applyFill="1" applyBorder="1" applyAlignment="1">
      <alignment/>
    </xf>
    <xf numFmtId="0" fontId="36" fillId="33" borderId="0" xfId="0" applyFont="1" applyFill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/>
    </xf>
    <xf numFmtId="0" fontId="0" fillId="33" borderId="0" xfId="0" applyFill="1" applyAlignment="1" quotePrefix="1">
      <alignment horizontal="left" indent="22"/>
    </xf>
    <xf numFmtId="43" fontId="39" fillId="33" borderId="0" xfId="38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right" vertical="center"/>
    </xf>
    <xf numFmtId="43" fontId="1" fillId="33" borderId="16" xfId="38" applyFont="1" applyFill="1" applyBorder="1" applyAlignment="1">
      <alignment horizontal="right" vertical="center"/>
    </xf>
    <xf numFmtId="43" fontId="1" fillId="33" borderId="16" xfId="38" applyNumberFormat="1" applyFont="1" applyFill="1" applyBorder="1" applyAlignment="1">
      <alignment horizontal="right" vertical="center"/>
    </xf>
    <xf numFmtId="0" fontId="70" fillId="33" borderId="35" xfId="0" applyFont="1" applyFill="1" applyBorder="1" applyAlignment="1">
      <alignment/>
    </xf>
    <xf numFmtId="205" fontId="70" fillId="33" borderId="19" xfId="38" applyNumberFormat="1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center" vertical="center" shrinkToFit="1"/>
    </xf>
    <xf numFmtId="0" fontId="2" fillId="33" borderId="23" xfId="0" applyFont="1" applyFill="1" applyBorder="1" applyAlignment="1">
      <alignment horizontal="center" vertical="center" shrinkToFit="1"/>
    </xf>
    <xf numFmtId="0" fontId="2" fillId="33" borderId="24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center" vertical="center" shrinkToFit="1"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13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/>
    </xf>
    <xf numFmtId="0" fontId="8" fillId="33" borderId="22" xfId="0" applyFont="1" applyFill="1" applyBorder="1" applyAlignment="1">
      <alignment horizontal="left"/>
    </xf>
    <xf numFmtId="0" fontId="8" fillId="33" borderId="23" xfId="0" applyFont="1" applyFill="1" applyBorder="1" applyAlignment="1">
      <alignment horizontal="left"/>
    </xf>
    <xf numFmtId="0" fontId="8" fillId="33" borderId="24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/>
    </xf>
    <xf numFmtId="4" fontId="1" fillId="0" borderId="12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49" fontId="18" fillId="0" borderId="13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09" fontId="1" fillId="0" borderId="11" xfId="0" applyNumberFormat="1" applyFont="1" applyBorder="1" applyAlignment="1">
      <alignment horizontal="right"/>
    </xf>
    <xf numFmtId="209" fontId="1" fillId="0" borderId="0" xfId="0" applyNumberFormat="1" applyFont="1" applyBorder="1" applyAlignment="1">
      <alignment horizontal="right"/>
    </xf>
    <xf numFmtId="209" fontId="1" fillId="0" borderId="13" xfId="0" applyNumberFormat="1" applyFont="1" applyBorder="1" applyAlignment="1">
      <alignment horizontal="right"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09" fontId="19" fillId="0" borderId="0" xfId="0" applyNumberFormat="1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1" fillId="33" borderId="21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23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8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23" fillId="0" borderId="0" xfId="0" applyFont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9" fontId="1" fillId="33" borderId="0" xfId="48" applyFont="1" applyFill="1" applyAlignment="1">
      <alignment horizontal="center"/>
    </xf>
    <xf numFmtId="49" fontId="25" fillId="33" borderId="18" xfId="38" applyNumberFormat="1" applyFont="1" applyFill="1" applyBorder="1" applyAlignment="1">
      <alignment horizontal="right" vertical="center"/>
    </xf>
    <xf numFmtId="49" fontId="25" fillId="33" borderId="14" xfId="38" applyNumberFormat="1" applyFont="1" applyFill="1" applyBorder="1" applyAlignment="1">
      <alignment horizontal="right" vertical="center"/>
    </xf>
    <xf numFmtId="49" fontId="26" fillId="33" borderId="21" xfId="38" applyNumberFormat="1" applyFont="1" applyFill="1" applyBorder="1" applyAlignment="1">
      <alignment horizontal="center" vertical="center"/>
    </xf>
    <xf numFmtId="49" fontId="26" fillId="33" borderId="19" xfId="38" applyNumberFormat="1" applyFont="1" applyFill="1" applyBorder="1" applyAlignment="1">
      <alignment horizontal="center" vertical="center"/>
    </xf>
    <xf numFmtId="49" fontId="26" fillId="33" borderId="35" xfId="38" applyNumberFormat="1" applyFont="1" applyFill="1" applyBorder="1" applyAlignment="1">
      <alignment horizontal="center"/>
    </xf>
    <xf numFmtId="49" fontId="26" fillId="33" borderId="19" xfId="38" applyNumberFormat="1" applyFont="1" applyFill="1" applyBorder="1" applyAlignment="1">
      <alignment horizontal="center"/>
    </xf>
    <xf numFmtId="49" fontId="26" fillId="33" borderId="21" xfId="38" applyNumberFormat="1" applyFont="1" applyFill="1" applyBorder="1" applyAlignment="1">
      <alignment horizontal="center"/>
    </xf>
    <xf numFmtId="49" fontId="26" fillId="33" borderId="18" xfId="38" applyNumberFormat="1" applyFont="1" applyFill="1" applyBorder="1" applyAlignment="1">
      <alignment horizontal="center" vertical="center"/>
    </xf>
    <xf numFmtId="49" fontId="26" fillId="33" borderId="14" xfId="38" applyNumberFormat="1" applyFont="1" applyFill="1" applyBorder="1" applyAlignment="1">
      <alignment horizontal="center" vertical="center"/>
    </xf>
    <xf numFmtId="43" fontId="24" fillId="33" borderId="0" xfId="38" applyFont="1" applyFill="1" applyAlignment="1">
      <alignment horizontal="center"/>
    </xf>
    <xf numFmtId="49" fontId="26" fillId="33" borderId="35" xfId="38" applyNumberFormat="1" applyFont="1" applyFill="1" applyBorder="1" applyAlignment="1">
      <alignment horizontal="center" vertical="center"/>
    </xf>
    <xf numFmtId="43" fontId="24" fillId="33" borderId="0" xfId="38" applyFont="1" applyFill="1" applyBorder="1" applyAlignment="1">
      <alignment horizontal="center"/>
    </xf>
    <xf numFmtId="49" fontId="25" fillId="33" borderId="18" xfId="38" applyNumberFormat="1" applyFont="1" applyFill="1" applyBorder="1" applyAlignment="1">
      <alignment horizontal="center" vertical="center"/>
    </xf>
    <xf numFmtId="49" fontId="25" fillId="33" borderId="14" xfId="38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/>
    </xf>
    <xf numFmtId="0" fontId="39" fillId="33" borderId="0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0" xfId="0" applyFont="1" applyFill="1" applyAlignment="1">
      <alignment horizontal="right"/>
    </xf>
    <xf numFmtId="0" fontId="40" fillId="33" borderId="0" xfId="0" applyFont="1" applyFill="1" applyAlignment="1">
      <alignment horizontal="center"/>
    </xf>
    <xf numFmtId="0" fontId="39" fillId="33" borderId="21" xfId="0" applyFont="1" applyFill="1" applyBorder="1" applyAlignment="1">
      <alignment horizontal="center"/>
    </xf>
    <xf numFmtId="0" fontId="39" fillId="33" borderId="19" xfId="0" applyFont="1" applyFill="1" applyBorder="1" applyAlignment="1">
      <alignment horizontal="center"/>
    </xf>
    <xf numFmtId="0" fontId="39" fillId="33" borderId="35" xfId="0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5" fillId="33" borderId="11" xfId="0" applyFont="1" applyFill="1" applyBorder="1" applyAlignment="1">
      <alignment horizontal="left" indent="5"/>
    </xf>
    <xf numFmtId="0" fontId="5" fillId="33" borderId="0" xfId="0" applyFont="1" applyFill="1" applyBorder="1" applyAlignment="1">
      <alignment horizontal="left" indent="5"/>
    </xf>
    <xf numFmtId="0" fontId="5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indent="2"/>
    </xf>
    <xf numFmtId="0" fontId="5" fillId="33" borderId="0" xfId="0" applyFont="1" applyFill="1" applyBorder="1" applyAlignment="1">
      <alignment horizontal="left" indent="2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1171575</xdr:colOff>
      <xdr:row>6</xdr:row>
      <xdr:rowOff>0</xdr:rowOff>
    </xdr:from>
    <xdr:to>
      <xdr:col>5</xdr:col>
      <xdr:colOff>1171575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657850" y="1552575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1228725</xdr:colOff>
      <xdr:row>6</xdr:row>
      <xdr:rowOff>0</xdr:rowOff>
    </xdr:from>
    <xdr:to>
      <xdr:col>6</xdr:col>
      <xdr:colOff>1228725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7105650" y="1552575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9525</xdr:colOff>
      <xdr:row>58</xdr:row>
      <xdr:rowOff>0</xdr:rowOff>
    </xdr:from>
    <xdr:ext cx="1809750" cy="952500"/>
    <xdr:sp>
      <xdr:nvSpPr>
        <xdr:cNvPr id="3" name="Text Box 5"/>
        <xdr:cNvSpPr txBox="1">
          <a:spLocks noChangeArrowheads="1"/>
        </xdr:cNvSpPr>
      </xdr:nvSpPr>
      <xdr:spPr>
        <a:xfrm>
          <a:off x="9525" y="16840200"/>
          <a:ext cx="18097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หัวหน้าส่วนการคลัง</a:t>
          </a:r>
        </a:p>
      </xdr:txBody>
    </xdr:sp>
    <xdr:clientData/>
  </xdr:oneCellAnchor>
  <xdr:oneCellAnchor>
    <xdr:from>
      <xdr:col>5</xdr:col>
      <xdr:colOff>47625</xdr:colOff>
      <xdr:row>57</xdr:row>
      <xdr:rowOff>266700</xdr:rowOff>
    </xdr:from>
    <xdr:ext cx="2419350" cy="942975"/>
    <xdr:sp>
      <xdr:nvSpPr>
        <xdr:cNvPr id="4" name="Text Box 7"/>
        <xdr:cNvSpPr txBox="1">
          <a:spLocks noChangeArrowheads="1"/>
        </xdr:cNvSpPr>
      </xdr:nvSpPr>
      <xdr:spPr>
        <a:xfrm>
          <a:off x="4533900" y="16830675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2</xdr:col>
      <xdr:colOff>590550</xdr:colOff>
      <xdr:row>58</xdr:row>
      <xdr:rowOff>0</xdr:rowOff>
    </xdr:from>
    <xdr:ext cx="2419350" cy="942975"/>
    <xdr:sp>
      <xdr:nvSpPr>
        <xdr:cNvPr id="5" name="Text Box 12"/>
        <xdr:cNvSpPr txBox="1">
          <a:spLocks noChangeArrowheads="1"/>
        </xdr:cNvSpPr>
      </xdr:nvSpPr>
      <xdr:spPr>
        <a:xfrm>
          <a:off x="1809750" y="16840200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  <xdr:twoCellAnchor>
    <xdr:from>
      <xdr:col>5</xdr:col>
      <xdr:colOff>1171575</xdr:colOff>
      <xdr:row>16</xdr:row>
      <xdr:rowOff>276225</xdr:rowOff>
    </xdr:from>
    <xdr:to>
      <xdr:col>5</xdr:col>
      <xdr:colOff>1171575</xdr:colOff>
      <xdr:row>41</xdr:row>
      <xdr:rowOff>0</xdr:rowOff>
    </xdr:to>
    <xdr:sp>
      <xdr:nvSpPr>
        <xdr:cNvPr id="6" name="Line 1"/>
        <xdr:cNvSpPr>
          <a:spLocks/>
        </xdr:cNvSpPr>
      </xdr:nvSpPr>
      <xdr:spPr>
        <a:xfrm>
          <a:off x="5657850" y="4781550"/>
          <a:ext cx="0" cy="709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1228725</xdr:colOff>
      <xdr:row>16</xdr:row>
      <xdr:rowOff>276225</xdr:rowOff>
    </xdr:from>
    <xdr:to>
      <xdr:col>6</xdr:col>
      <xdr:colOff>1228725</xdr:colOff>
      <xdr:row>41</xdr:row>
      <xdr:rowOff>0</xdr:rowOff>
    </xdr:to>
    <xdr:sp>
      <xdr:nvSpPr>
        <xdr:cNvPr id="7" name="Line 2"/>
        <xdr:cNvSpPr>
          <a:spLocks/>
        </xdr:cNvSpPr>
      </xdr:nvSpPr>
      <xdr:spPr>
        <a:xfrm>
          <a:off x="7105650" y="4781550"/>
          <a:ext cx="0" cy="709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1171575</xdr:colOff>
      <xdr:row>42</xdr:row>
      <xdr:rowOff>0</xdr:rowOff>
    </xdr:from>
    <xdr:to>
      <xdr:col>5</xdr:col>
      <xdr:colOff>1171575</xdr:colOff>
      <xdr:row>52</xdr:row>
      <xdr:rowOff>9525</xdr:rowOff>
    </xdr:to>
    <xdr:sp>
      <xdr:nvSpPr>
        <xdr:cNvPr id="8" name="ตัวเชื่อมต่อตรง 11"/>
        <xdr:cNvSpPr>
          <a:spLocks/>
        </xdr:cNvSpPr>
      </xdr:nvSpPr>
      <xdr:spPr>
        <a:xfrm rot="5400000">
          <a:off x="5657850" y="12172950"/>
          <a:ext cx="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1219200</xdr:colOff>
      <xdr:row>41</xdr:row>
      <xdr:rowOff>285750</xdr:rowOff>
    </xdr:from>
    <xdr:to>
      <xdr:col>6</xdr:col>
      <xdr:colOff>1219200</xdr:colOff>
      <xdr:row>52</xdr:row>
      <xdr:rowOff>0</xdr:rowOff>
    </xdr:to>
    <xdr:sp>
      <xdr:nvSpPr>
        <xdr:cNvPr id="9" name="ตัวเชื่อมต่อตรง 12"/>
        <xdr:cNvSpPr>
          <a:spLocks/>
        </xdr:cNvSpPr>
      </xdr:nvSpPr>
      <xdr:spPr>
        <a:xfrm rot="5400000">
          <a:off x="7096125" y="12163425"/>
          <a:ext cx="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1171575</xdr:colOff>
      <xdr:row>6</xdr:row>
      <xdr:rowOff>0</xdr:rowOff>
    </xdr:from>
    <xdr:to>
      <xdr:col>5</xdr:col>
      <xdr:colOff>1171575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5657850" y="1552575"/>
          <a:ext cx="0" cy="679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1228725</xdr:colOff>
      <xdr:row>6</xdr:row>
      <xdr:rowOff>0</xdr:rowOff>
    </xdr:from>
    <xdr:to>
      <xdr:col>6</xdr:col>
      <xdr:colOff>1228725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7105650" y="1552575"/>
          <a:ext cx="0" cy="679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1171575</xdr:colOff>
      <xdr:row>30</xdr:row>
      <xdr:rowOff>0</xdr:rowOff>
    </xdr:from>
    <xdr:to>
      <xdr:col>5</xdr:col>
      <xdr:colOff>1171575</xdr:colOff>
      <xdr:row>45</xdr:row>
      <xdr:rowOff>9525</xdr:rowOff>
    </xdr:to>
    <xdr:sp>
      <xdr:nvSpPr>
        <xdr:cNvPr id="3" name="Line 3"/>
        <xdr:cNvSpPr>
          <a:spLocks/>
        </xdr:cNvSpPr>
      </xdr:nvSpPr>
      <xdr:spPr>
        <a:xfrm>
          <a:off x="5657850" y="863917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1228725</xdr:colOff>
      <xdr:row>30</xdr:row>
      <xdr:rowOff>0</xdr:rowOff>
    </xdr:from>
    <xdr:to>
      <xdr:col>6</xdr:col>
      <xdr:colOff>1228725</xdr:colOff>
      <xdr:row>45</xdr:row>
      <xdr:rowOff>9525</xdr:rowOff>
    </xdr:to>
    <xdr:sp>
      <xdr:nvSpPr>
        <xdr:cNvPr id="4" name="Line 4"/>
        <xdr:cNvSpPr>
          <a:spLocks/>
        </xdr:cNvSpPr>
      </xdr:nvSpPr>
      <xdr:spPr>
        <a:xfrm>
          <a:off x="7105650" y="863917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9525</xdr:colOff>
      <xdr:row>46</xdr:row>
      <xdr:rowOff>114300</xdr:rowOff>
    </xdr:from>
    <xdr:ext cx="1809750" cy="952500"/>
    <xdr:sp>
      <xdr:nvSpPr>
        <xdr:cNvPr id="5" name="Text Box 5"/>
        <xdr:cNvSpPr txBox="1">
          <a:spLocks noChangeArrowheads="1"/>
        </xdr:cNvSpPr>
      </xdr:nvSpPr>
      <xdr:spPr>
        <a:xfrm>
          <a:off x="9525" y="13458825"/>
          <a:ext cx="18097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 นางจันทรา  สุภาวสิทธิ์)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หัวหน้าส่วนการคลัง</a:t>
          </a:r>
        </a:p>
      </xdr:txBody>
    </xdr:sp>
    <xdr:clientData/>
  </xdr:oneCellAnchor>
  <xdr:oneCellAnchor>
    <xdr:from>
      <xdr:col>5</xdr:col>
      <xdr:colOff>47625</xdr:colOff>
      <xdr:row>46</xdr:row>
      <xdr:rowOff>104775</xdr:rowOff>
    </xdr:from>
    <xdr:ext cx="2419350" cy="942975"/>
    <xdr:sp>
      <xdr:nvSpPr>
        <xdr:cNvPr id="6" name="Text Box 7"/>
        <xdr:cNvSpPr txBox="1">
          <a:spLocks noChangeArrowheads="1"/>
        </xdr:cNvSpPr>
      </xdr:nvSpPr>
      <xdr:spPr>
        <a:xfrm>
          <a:off x="4533900" y="13449300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3</xdr:col>
      <xdr:colOff>733425</xdr:colOff>
      <xdr:row>68</xdr:row>
      <xdr:rowOff>123825</xdr:rowOff>
    </xdr:from>
    <xdr:ext cx="1590675" cy="771525"/>
    <xdr:sp>
      <xdr:nvSpPr>
        <xdr:cNvPr id="7" name="Text Box 11"/>
        <xdr:cNvSpPr txBox="1">
          <a:spLocks noChangeArrowheads="1"/>
        </xdr:cNvSpPr>
      </xdr:nvSpPr>
      <xdr:spPr>
        <a:xfrm>
          <a:off x="2562225" y="19583400"/>
          <a:ext cx="15906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2</xdr:col>
      <xdr:colOff>590550</xdr:colOff>
      <xdr:row>46</xdr:row>
      <xdr:rowOff>114300</xdr:rowOff>
    </xdr:from>
    <xdr:ext cx="2419350" cy="942975"/>
    <xdr:sp>
      <xdr:nvSpPr>
        <xdr:cNvPr id="8" name="Text Box 12"/>
        <xdr:cNvSpPr txBox="1">
          <a:spLocks noChangeArrowheads="1"/>
        </xdr:cNvSpPr>
      </xdr:nvSpPr>
      <xdr:spPr>
        <a:xfrm>
          <a:off x="1809750" y="13458825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  <xdr:oneCellAnchor>
    <xdr:from>
      <xdr:col>6</xdr:col>
      <xdr:colOff>1143000</xdr:colOff>
      <xdr:row>68</xdr:row>
      <xdr:rowOff>76200</xdr:rowOff>
    </xdr:from>
    <xdr:ext cx="2514600" cy="1057275"/>
    <xdr:sp>
      <xdr:nvSpPr>
        <xdr:cNvPr id="9" name="Text Box 13"/>
        <xdr:cNvSpPr txBox="1">
          <a:spLocks noChangeArrowheads="1"/>
        </xdr:cNvSpPr>
      </xdr:nvSpPr>
      <xdr:spPr>
        <a:xfrm>
          <a:off x="7019925" y="19535775"/>
          <a:ext cx="25146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twoCellAnchor>
    <xdr:from>
      <xdr:col>8</xdr:col>
      <xdr:colOff>1171575</xdr:colOff>
      <xdr:row>6</xdr:row>
      <xdr:rowOff>0</xdr:rowOff>
    </xdr:from>
    <xdr:to>
      <xdr:col>8</xdr:col>
      <xdr:colOff>1171575</xdr:colOff>
      <xdr:row>29</xdr:row>
      <xdr:rowOff>0</xdr:rowOff>
    </xdr:to>
    <xdr:sp>
      <xdr:nvSpPr>
        <xdr:cNvPr id="10" name="Line 1"/>
        <xdr:cNvSpPr>
          <a:spLocks/>
        </xdr:cNvSpPr>
      </xdr:nvSpPr>
      <xdr:spPr>
        <a:xfrm>
          <a:off x="9515475" y="1552575"/>
          <a:ext cx="0" cy="679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1228725</xdr:colOff>
      <xdr:row>6</xdr:row>
      <xdr:rowOff>0</xdr:rowOff>
    </xdr:from>
    <xdr:to>
      <xdr:col>9</xdr:col>
      <xdr:colOff>1228725</xdr:colOff>
      <xdr:row>29</xdr:row>
      <xdr:rowOff>0</xdr:rowOff>
    </xdr:to>
    <xdr:sp>
      <xdr:nvSpPr>
        <xdr:cNvPr id="11" name="Line 2"/>
        <xdr:cNvSpPr>
          <a:spLocks/>
        </xdr:cNvSpPr>
      </xdr:nvSpPr>
      <xdr:spPr>
        <a:xfrm>
          <a:off x="10963275" y="1552575"/>
          <a:ext cx="0" cy="679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8</xdr:col>
      <xdr:colOff>1171575</xdr:colOff>
      <xdr:row>30</xdr:row>
      <xdr:rowOff>0</xdr:rowOff>
    </xdr:from>
    <xdr:to>
      <xdr:col>8</xdr:col>
      <xdr:colOff>1171575</xdr:colOff>
      <xdr:row>45</xdr:row>
      <xdr:rowOff>9525</xdr:rowOff>
    </xdr:to>
    <xdr:sp>
      <xdr:nvSpPr>
        <xdr:cNvPr id="12" name="Line 3"/>
        <xdr:cNvSpPr>
          <a:spLocks/>
        </xdr:cNvSpPr>
      </xdr:nvSpPr>
      <xdr:spPr>
        <a:xfrm>
          <a:off x="9515475" y="863917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1228725</xdr:colOff>
      <xdr:row>30</xdr:row>
      <xdr:rowOff>0</xdr:rowOff>
    </xdr:from>
    <xdr:to>
      <xdr:col>9</xdr:col>
      <xdr:colOff>1228725</xdr:colOff>
      <xdr:row>45</xdr:row>
      <xdr:rowOff>9525</xdr:rowOff>
    </xdr:to>
    <xdr:sp>
      <xdr:nvSpPr>
        <xdr:cNvPr id="13" name="Line 4"/>
        <xdr:cNvSpPr>
          <a:spLocks/>
        </xdr:cNvSpPr>
      </xdr:nvSpPr>
      <xdr:spPr>
        <a:xfrm>
          <a:off x="10963275" y="8639175"/>
          <a:ext cx="0" cy="442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1038225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67300" y="9820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(ลงชื่อ)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(นางจันทรา  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                     หัวหน้าส่วนการคลัง</a:t>
          </a:r>
        </a:p>
      </xdr:txBody>
    </xdr:sp>
    <xdr:clientData/>
  </xdr:twoCellAnchor>
  <xdr:twoCellAnchor>
    <xdr:from>
      <xdr:col>2</xdr:col>
      <xdr:colOff>866775</xdr:colOff>
      <xdr:row>5</xdr:row>
      <xdr:rowOff>9525</xdr:rowOff>
    </xdr:from>
    <xdr:to>
      <xdr:col>2</xdr:col>
      <xdr:colOff>866775</xdr:colOff>
      <xdr:row>19</xdr:row>
      <xdr:rowOff>0</xdr:rowOff>
    </xdr:to>
    <xdr:sp>
      <xdr:nvSpPr>
        <xdr:cNvPr id="2" name="Straight Connector 5"/>
        <xdr:cNvSpPr>
          <a:spLocks/>
        </xdr:cNvSpPr>
      </xdr:nvSpPr>
      <xdr:spPr>
        <a:xfrm rot="5400000">
          <a:off x="4895850" y="1438275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771525</xdr:colOff>
      <xdr:row>5</xdr:row>
      <xdr:rowOff>0</xdr:rowOff>
    </xdr:from>
    <xdr:to>
      <xdr:col>3</xdr:col>
      <xdr:colOff>771525</xdr:colOff>
      <xdr:row>18</xdr:row>
      <xdr:rowOff>276225</xdr:rowOff>
    </xdr:to>
    <xdr:sp>
      <xdr:nvSpPr>
        <xdr:cNvPr id="3" name="Straight Connector 6"/>
        <xdr:cNvSpPr>
          <a:spLocks/>
        </xdr:cNvSpPr>
      </xdr:nvSpPr>
      <xdr:spPr>
        <a:xfrm rot="5400000">
          <a:off x="5838825" y="1428750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8</xdr:row>
      <xdr:rowOff>0</xdr:rowOff>
    </xdr:from>
    <xdr:to>
      <xdr:col>0</xdr:col>
      <xdr:colOff>876300</xdr:colOff>
      <xdr:row>17</xdr:row>
      <xdr:rowOff>0</xdr:rowOff>
    </xdr:to>
    <xdr:sp>
      <xdr:nvSpPr>
        <xdr:cNvPr id="1" name="Line 122"/>
        <xdr:cNvSpPr>
          <a:spLocks/>
        </xdr:cNvSpPr>
      </xdr:nvSpPr>
      <xdr:spPr>
        <a:xfrm>
          <a:off x="876300" y="2733675"/>
          <a:ext cx="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8</xdr:row>
      <xdr:rowOff>0</xdr:rowOff>
    </xdr:from>
    <xdr:to>
      <xdr:col>1</xdr:col>
      <xdr:colOff>952500</xdr:colOff>
      <xdr:row>27</xdr:row>
      <xdr:rowOff>19050</xdr:rowOff>
    </xdr:to>
    <xdr:sp>
      <xdr:nvSpPr>
        <xdr:cNvPr id="2" name="Line 124"/>
        <xdr:cNvSpPr>
          <a:spLocks/>
        </xdr:cNvSpPr>
      </xdr:nvSpPr>
      <xdr:spPr>
        <a:xfrm>
          <a:off x="2038350" y="273367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914400</xdr:colOff>
      <xdr:row>7</xdr:row>
      <xdr:rowOff>257175</xdr:rowOff>
    </xdr:from>
    <xdr:to>
      <xdr:col>6</xdr:col>
      <xdr:colOff>914400</xdr:colOff>
      <xdr:row>26</xdr:row>
      <xdr:rowOff>285750</xdr:rowOff>
    </xdr:to>
    <xdr:sp>
      <xdr:nvSpPr>
        <xdr:cNvPr id="3" name="Line 125"/>
        <xdr:cNvSpPr>
          <a:spLocks/>
        </xdr:cNvSpPr>
      </xdr:nvSpPr>
      <xdr:spPr>
        <a:xfrm>
          <a:off x="6019800" y="2695575"/>
          <a:ext cx="0" cy="565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885825</xdr:colOff>
      <xdr:row>39</xdr:row>
      <xdr:rowOff>276225</xdr:rowOff>
    </xdr:from>
    <xdr:to>
      <xdr:col>0</xdr:col>
      <xdr:colOff>885825</xdr:colOff>
      <xdr:row>52</xdr:row>
      <xdr:rowOff>276225</xdr:rowOff>
    </xdr:to>
    <xdr:sp>
      <xdr:nvSpPr>
        <xdr:cNvPr id="4" name="Line 127"/>
        <xdr:cNvSpPr>
          <a:spLocks/>
        </xdr:cNvSpPr>
      </xdr:nvSpPr>
      <xdr:spPr>
        <a:xfrm>
          <a:off x="885825" y="12201525"/>
          <a:ext cx="0" cy="383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952500</xdr:colOff>
      <xdr:row>40</xdr:row>
      <xdr:rowOff>0</xdr:rowOff>
    </xdr:from>
    <xdr:to>
      <xdr:col>1</xdr:col>
      <xdr:colOff>952500</xdr:colOff>
      <xdr:row>67</xdr:row>
      <xdr:rowOff>0</xdr:rowOff>
    </xdr:to>
    <xdr:sp>
      <xdr:nvSpPr>
        <xdr:cNvPr id="5" name="Line 128"/>
        <xdr:cNvSpPr>
          <a:spLocks/>
        </xdr:cNvSpPr>
      </xdr:nvSpPr>
      <xdr:spPr>
        <a:xfrm>
          <a:off x="2038350" y="12220575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904875</xdr:colOff>
      <xdr:row>39</xdr:row>
      <xdr:rowOff>285750</xdr:rowOff>
    </xdr:from>
    <xdr:to>
      <xdr:col>6</xdr:col>
      <xdr:colOff>904875</xdr:colOff>
      <xdr:row>66</xdr:row>
      <xdr:rowOff>295275</xdr:rowOff>
    </xdr:to>
    <xdr:sp>
      <xdr:nvSpPr>
        <xdr:cNvPr id="6" name="Line 129"/>
        <xdr:cNvSpPr>
          <a:spLocks/>
        </xdr:cNvSpPr>
      </xdr:nvSpPr>
      <xdr:spPr>
        <a:xfrm>
          <a:off x="6010275" y="12211050"/>
          <a:ext cx="0" cy="800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0</xdr:colOff>
      <xdr:row>67</xdr:row>
      <xdr:rowOff>285750</xdr:rowOff>
    </xdr:from>
    <xdr:ext cx="1876425" cy="904875"/>
    <xdr:sp>
      <xdr:nvSpPr>
        <xdr:cNvPr id="7" name="Text Box 143"/>
        <xdr:cNvSpPr txBox="1">
          <a:spLocks noChangeArrowheads="1"/>
        </xdr:cNvSpPr>
      </xdr:nvSpPr>
      <xdr:spPr>
        <a:xfrm>
          <a:off x="0" y="20507325"/>
          <a:ext cx="18764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1</xdr:col>
      <xdr:colOff>628650</xdr:colOff>
      <xdr:row>69</xdr:row>
      <xdr:rowOff>19050</xdr:rowOff>
    </xdr:from>
    <xdr:ext cx="2305050" cy="942975"/>
    <xdr:sp>
      <xdr:nvSpPr>
        <xdr:cNvPr id="8" name="Text Box 145"/>
        <xdr:cNvSpPr txBox="1">
          <a:spLocks noChangeArrowheads="1"/>
        </xdr:cNvSpPr>
      </xdr:nvSpPr>
      <xdr:spPr>
        <a:xfrm>
          <a:off x="1714500" y="20840700"/>
          <a:ext cx="23050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3</xdr:col>
      <xdr:colOff>571500</xdr:colOff>
      <xdr:row>67</xdr:row>
      <xdr:rowOff>114300</xdr:rowOff>
    </xdr:from>
    <xdr:ext cx="2419350" cy="942975"/>
    <xdr:sp>
      <xdr:nvSpPr>
        <xdr:cNvPr id="9" name="Text Box 148"/>
        <xdr:cNvSpPr txBox="1">
          <a:spLocks noChangeArrowheads="1"/>
        </xdr:cNvSpPr>
      </xdr:nvSpPr>
      <xdr:spPr>
        <a:xfrm>
          <a:off x="3562350" y="20335875"/>
          <a:ext cx="24193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จ.ส.อ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17</xdr:row>
      <xdr:rowOff>85725</xdr:rowOff>
    </xdr:from>
    <xdr:ext cx="2362200" cy="1009650"/>
    <xdr:sp>
      <xdr:nvSpPr>
        <xdr:cNvPr id="1" name="Text Box 9"/>
        <xdr:cNvSpPr txBox="1">
          <a:spLocks noChangeArrowheads="1"/>
        </xdr:cNvSpPr>
      </xdr:nvSpPr>
      <xdr:spPr>
        <a:xfrm>
          <a:off x="542925" y="5724525"/>
          <a:ext cx="2362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2</xdr:col>
      <xdr:colOff>571500</xdr:colOff>
      <xdr:row>22</xdr:row>
      <xdr:rowOff>123825</xdr:rowOff>
    </xdr:from>
    <xdr:ext cx="3114675" cy="1238250"/>
    <xdr:sp>
      <xdr:nvSpPr>
        <xdr:cNvPr id="2" name="Text Box 10"/>
        <xdr:cNvSpPr txBox="1">
          <a:spLocks noChangeArrowheads="1"/>
        </xdr:cNvSpPr>
      </xdr:nvSpPr>
      <xdr:spPr>
        <a:xfrm>
          <a:off x="1971675" y="7343775"/>
          <a:ext cx="311467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4</xdr:col>
      <xdr:colOff>1219200</xdr:colOff>
      <xdr:row>17</xdr:row>
      <xdr:rowOff>38100</xdr:rowOff>
    </xdr:from>
    <xdr:ext cx="3295650" cy="1390650"/>
    <xdr:sp>
      <xdr:nvSpPr>
        <xdr:cNvPr id="3" name="Text Box 11"/>
        <xdr:cNvSpPr txBox="1">
          <a:spLocks noChangeArrowheads="1"/>
        </xdr:cNvSpPr>
      </xdr:nvSpPr>
      <xdr:spPr>
        <a:xfrm>
          <a:off x="4076700" y="5676900"/>
          <a:ext cx="32956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33</xdr:row>
      <xdr:rowOff>66675</xdr:rowOff>
    </xdr:from>
    <xdr:ext cx="2371725" cy="1114425"/>
    <xdr:sp>
      <xdr:nvSpPr>
        <xdr:cNvPr id="1" name="Text Box 17"/>
        <xdr:cNvSpPr txBox="1">
          <a:spLocks noChangeArrowheads="1"/>
        </xdr:cNvSpPr>
      </xdr:nvSpPr>
      <xdr:spPr>
        <a:xfrm>
          <a:off x="209550" y="10487025"/>
          <a:ext cx="237172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4</xdr:col>
      <xdr:colOff>104775</xdr:colOff>
      <xdr:row>33</xdr:row>
      <xdr:rowOff>171450</xdr:rowOff>
    </xdr:from>
    <xdr:ext cx="3048000" cy="1133475"/>
    <xdr:sp>
      <xdr:nvSpPr>
        <xdr:cNvPr id="2" name="Text Box 19"/>
        <xdr:cNvSpPr txBox="1">
          <a:spLocks noChangeArrowheads="1"/>
        </xdr:cNvSpPr>
      </xdr:nvSpPr>
      <xdr:spPr>
        <a:xfrm>
          <a:off x="2457450" y="10591800"/>
          <a:ext cx="30480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6</xdr:col>
      <xdr:colOff>1533525</xdr:colOff>
      <xdr:row>33</xdr:row>
      <xdr:rowOff>238125</xdr:rowOff>
    </xdr:from>
    <xdr:ext cx="3162300" cy="1057275"/>
    <xdr:sp>
      <xdr:nvSpPr>
        <xdr:cNvPr id="3" name="Text Box 31"/>
        <xdr:cNvSpPr txBox="1">
          <a:spLocks noChangeArrowheads="1"/>
        </xdr:cNvSpPr>
      </xdr:nvSpPr>
      <xdr:spPr>
        <a:xfrm>
          <a:off x="5514975" y="10658475"/>
          <a:ext cx="3162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  <xdr:oneCellAnchor>
    <xdr:from>
      <xdr:col>2</xdr:col>
      <xdr:colOff>257175</xdr:colOff>
      <xdr:row>68</xdr:row>
      <xdr:rowOff>57150</xdr:rowOff>
    </xdr:from>
    <xdr:ext cx="2362200" cy="1000125"/>
    <xdr:sp>
      <xdr:nvSpPr>
        <xdr:cNvPr id="4" name="Text Box 32"/>
        <xdr:cNvSpPr txBox="1">
          <a:spLocks noChangeArrowheads="1"/>
        </xdr:cNvSpPr>
      </xdr:nvSpPr>
      <xdr:spPr>
        <a:xfrm>
          <a:off x="742950" y="21088350"/>
          <a:ext cx="23622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4</xdr:col>
      <xdr:colOff>247650</xdr:colOff>
      <xdr:row>73</xdr:row>
      <xdr:rowOff>85725</xdr:rowOff>
    </xdr:from>
    <xdr:ext cx="3114675" cy="1238250"/>
    <xdr:sp>
      <xdr:nvSpPr>
        <xdr:cNvPr id="5" name="Text Box 33"/>
        <xdr:cNvSpPr txBox="1">
          <a:spLocks noChangeArrowheads="1"/>
        </xdr:cNvSpPr>
      </xdr:nvSpPr>
      <xdr:spPr>
        <a:xfrm>
          <a:off x="2600325" y="22783800"/>
          <a:ext cx="311467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6</xdr:col>
      <xdr:colOff>723900</xdr:colOff>
      <xdr:row>68</xdr:row>
      <xdr:rowOff>95250</xdr:rowOff>
    </xdr:from>
    <xdr:ext cx="3295650" cy="1381125"/>
    <xdr:sp>
      <xdr:nvSpPr>
        <xdr:cNvPr id="6" name="Text Box 34"/>
        <xdr:cNvSpPr txBox="1">
          <a:spLocks noChangeArrowheads="1"/>
        </xdr:cNvSpPr>
      </xdr:nvSpPr>
      <xdr:spPr>
        <a:xfrm>
          <a:off x="4705350" y="21126450"/>
          <a:ext cx="3295650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23</xdr:row>
      <xdr:rowOff>266700</xdr:rowOff>
    </xdr:from>
    <xdr:ext cx="2028825" cy="1057275"/>
    <xdr:sp>
      <xdr:nvSpPr>
        <xdr:cNvPr id="1" name="Text Box 5"/>
        <xdr:cNvSpPr txBox="1">
          <a:spLocks noChangeArrowheads="1"/>
        </xdr:cNvSpPr>
      </xdr:nvSpPr>
      <xdr:spPr>
        <a:xfrm>
          <a:off x="333375" y="6829425"/>
          <a:ext cx="20288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1</xdr:col>
      <xdr:colOff>2495550</xdr:colOff>
      <xdr:row>23</xdr:row>
      <xdr:rowOff>257175</xdr:rowOff>
    </xdr:from>
    <xdr:ext cx="2371725" cy="1057275"/>
    <xdr:sp>
      <xdr:nvSpPr>
        <xdr:cNvPr id="2" name="Text Box 9"/>
        <xdr:cNvSpPr txBox="1">
          <a:spLocks noChangeArrowheads="1"/>
        </xdr:cNvSpPr>
      </xdr:nvSpPr>
      <xdr:spPr>
        <a:xfrm>
          <a:off x="3105150" y="6819900"/>
          <a:ext cx="23717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 จ.ส.อ.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(ปฏิเวช  ยานะนวล)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ปลัดองค์การบริหารส่วนตำบลท่าสาย</a:t>
          </a:r>
        </a:p>
      </xdr:txBody>
    </xdr:sp>
    <xdr:clientData/>
  </xdr:oneCellAnchor>
  <xdr:oneCellAnchor>
    <xdr:from>
      <xdr:col>2</xdr:col>
      <xdr:colOff>1038225</xdr:colOff>
      <xdr:row>23</xdr:row>
      <xdr:rowOff>219075</xdr:rowOff>
    </xdr:from>
    <xdr:ext cx="2752725" cy="1190625"/>
    <xdr:sp>
      <xdr:nvSpPr>
        <xdr:cNvPr id="3" name="Text Box 10"/>
        <xdr:cNvSpPr txBox="1">
          <a:spLocks noChangeArrowheads="1"/>
        </xdr:cNvSpPr>
      </xdr:nvSpPr>
      <xdr:spPr>
        <a:xfrm>
          <a:off x="5686425" y="6781800"/>
          <a:ext cx="27527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0</xdr:col>
      <xdr:colOff>209550</xdr:colOff>
      <xdr:row>75</xdr:row>
      <xdr:rowOff>57150</xdr:rowOff>
    </xdr:from>
    <xdr:ext cx="2028825" cy="1019175"/>
    <xdr:sp>
      <xdr:nvSpPr>
        <xdr:cNvPr id="4" name="Text Box 11"/>
        <xdr:cNvSpPr txBox="1">
          <a:spLocks noChangeArrowheads="1"/>
        </xdr:cNvSpPr>
      </xdr:nvSpPr>
      <xdr:spPr>
        <a:xfrm>
          <a:off x="209550" y="21621750"/>
          <a:ext cx="20288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2</xdr:col>
      <xdr:colOff>1047750</xdr:colOff>
      <xdr:row>75</xdr:row>
      <xdr:rowOff>76200</xdr:rowOff>
    </xdr:from>
    <xdr:ext cx="2752725" cy="981075"/>
    <xdr:sp>
      <xdr:nvSpPr>
        <xdr:cNvPr id="5" name="Text Box 13"/>
        <xdr:cNvSpPr txBox="1">
          <a:spLocks noChangeArrowheads="1"/>
        </xdr:cNvSpPr>
      </xdr:nvSpPr>
      <xdr:spPr>
        <a:xfrm>
          <a:off x="5695950" y="21640800"/>
          <a:ext cx="275272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1</xdr:col>
      <xdr:colOff>1933575</xdr:colOff>
      <xdr:row>75</xdr:row>
      <xdr:rowOff>57150</xdr:rowOff>
    </xdr:from>
    <xdr:ext cx="3114675" cy="990600"/>
    <xdr:sp>
      <xdr:nvSpPr>
        <xdr:cNvPr id="6" name="Text Box 15"/>
        <xdr:cNvSpPr txBox="1">
          <a:spLocks noChangeArrowheads="1"/>
        </xdr:cNvSpPr>
      </xdr:nvSpPr>
      <xdr:spPr>
        <a:xfrm>
          <a:off x="2543175" y="21621750"/>
          <a:ext cx="3114675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จ.ส.อ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542925</xdr:colOff>
      <xdr:row>23</xdr:row>
      <xdr:rowOff>85725</xdr:rowOff>
    </xdr:from>
    <xdr:ext cx="2362200" cy="1009650"/>
    <xdr:sp>
      <xdr:nvSpPr>
        <xdr:cNvPr id="1" name="Text Box 9"/>
        <xdr:cNvSpPr txBox="1">
          <a:spLocks noChangeArrowheads="1"/>
        </xdr:cNvSpPr>
      </xdr:nvSpPr>
      <xdr:spPr>
        <a:xfrm>
          <a:off x="542925" y="7620000"/>
          <a:ext cx="2362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2</xdr:col>
      <xdr:colOff>571500</xdr:colOff>
      <xdr:row>28</xdr:row>
      <xdr:rowOff>123825</xdr:rowOff>
    </xdr:from>
    <xdr:ext cx="3114675" cy="1238250"/>
    <xdr:sp>
      <xdr:nvSpPr>
        <xdr:cNvPr id="2" name="Text Box 10"/>
        <xdr:cNvSpPr txBox="1">
          <a:spLocks noChangeArrowheads="1"/>
        </xdr:cNvSpPr>
      </xdr:nvSpPr>
      <xdr:spPr>
        <a:xfrm>
          <a:off x="1971675" y="9239250"/>
          <a:ext cx="311467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4</xdr:col>
      <xdr:colOff>1219200</xdr:colOff>
      <xdr:row>23</xdr:row>
      <xdr:rowOff>38100</xdr:rowOff>
    </xdr:from>
    <xdr:ext cx="3295650" cy="1390650"/>
    <xdr:sp>
      <xdr:nvSpPr>
        <xdr:cNvPr id="3" name="Text Box 11"/>
        <xdr:cNvSpPr txBox="1">
          <a:spLocks noChangeArrowheads="1"/>
        </xdr:cNvSpPr>
      </xdr:nvSpPr>
      <xdr:spPr>
        <a:xfrm>
          <a:off x="4076700" y="7572375"/>
          <a:ext cx="32956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7</xdr:col>
      <xdr:colOff>0</xdr:colOff>
      <xdr:row>1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953250" y="0"/>
          <a:ext cx="11334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(หมายเหตุ  6)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 )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)</a:t>
          </a:r>
        </a:p>
      </xdr:txBody>
    </xdr:sp>
    <xdr:clientData/>
  </xdr:twoCellAnchor>
  <xdr:oneCellAnchor>
    <xdr:from>
      <xdr:col>2</xdr:col>
      <xdr:colOff>247650</xdr:colOff>
      <xdr:row>32</xdr:row>
      <xdr:rowOff>276225</xdr:rowOff>
    </xdr:from>
    <xdr:ext cx="2362200" cy="1009650"/>
    <xdr:sp>
      <xdr:nvSpPr>
        <xdr:cNvPr id="2" name="Text Box 17"/>
        <xdr:cNvSpPr txBox="1">
          <a:spLocks noChangeArrowheads="1"/>
        </xdr:cNvSpPr>
      </xdr:nvSpPr>
      <xdr:spPr>
        <a:xfrm>
          <a:off x="542925" y="9744075"/>
          <a:ext cx="23622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2</xdr:col>
      <xdr:colOff>1676400</xdr:colOff>
      <xdr:row>38</xdr:row>
      <xdr:rowOff>123825</xdr:rowOff>
    </xdr:from>
    <xdr:ext cx="3114675" cy="1238250"/>
    <xdr:sp>
      <xdr:nvSpPr>
        <xdr:cNvPr id="3" name="Text Box 18"/>
        <xdr:cNvSpPr txBox="1">
          <a:spLocks noChangeArrowheads="1"/>
        </xdr:cNvSpPr>
      </xdr:nvSpPr>
      <xdr:spPr>
        <a:xfrm>
          <a:off x="1971675" y="11363325"/>
          <a:ext cx="311467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 บุญตานนท์)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3</xdr:col>
      <xdr:colOff>752475</xdr:colOff>
      <xdr:row>32</xdr:row>
      <xdr:rowOff>228600</xdr:rowOff>
    </xdr:from>
    <xdr:ext cx="3295650" cy="1390650"/>
    <xdr:sp>
      <xdr:nvSpPr>
        <xdr:cNvPr id="4" name="Text Box 19"/>
        <xdr:cNvSpPr txBox="1">
          <a:spLocks noChangeArrowheads="1"/>
        </xdr:cNvSpPr>
      </xdr:nvSpPr>
      <xdr:spPr>
        <a:xfrm>
          <a:off x="4076700" y="9696450"/>
          <a:ext cx="329565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จ.ส.อ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590550</xdr:colOff>
      <xdr:row>112</xdr:row>
      <xdr:rowOff>38100</xdr:rowOff>
    </xdr:from>
    <xdr:ext cx="2028825" cy="1085850"/>
    <xdr:sp>
      <xdr:nvSpPr>
        <xdr:cNvPr id="1" name="Text Box 1"/>
        <xdr:cNvSpPr txBox="1">
          <a:spLocks noChangeArrowheads="1"/>
        </xdr:cNvSpPr>
      </xdr:nvSpPr>
      <xdr:spPr>
        <a:xfrm>
          <a:off x="4905375" y="31632525"/>
          <a:ext cx="20288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ลงชื่อ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(นางจันทรา  สุภาวสิทธิ์)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หัวหน้าส่วนการคลัง</a:t>
          </a:r>
        </a:p>
      </xdr:txBody>
    </xdr:sp>
    <xdr:clientData/>
  </xdr:oneCellAnchor>
  <xdr:oneCellAnchor>
    <xdr:from>
      <xdr:col>17</xdr:col>
      <xdr:colOff>161925</xdr:colOff>
      <xdr:row>112</xdr:row>
      <xdr:rowOff>38100</xdr:rowOff>
    </xdr:from>
    <xdr:ext cx="3152775" cy="1114425"/>
    <xdr:sp>
      <xdr:nvSpPr>
        <xdr:cNvPr id="2" name="Text Box 3"/>
        <xdr:cNvSpPr txBox="1">
          <a:spLocks noChangeArrowheads="1"/>
        </xdr:cNvSpPr>
      </xdr:nvSpPr>
      <xdr:spPr>
        <a:xfrm>
          <a:off x="12192000" y="31632525"/>
          <a:ext cx="3152775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ลงชื่อ 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(นางอรัญญา  บุญตานนท์)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นายกองค์การบริหารส่วนตำบลท่าสาย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</a:p>
      </xdr:txBody>
    </xdr:sp>
    <xdr:clientData/>
  </xdr:oneCellAnchor>
  <xdr:oneCellAnchor>
    <xdr:from>
      <xdr:col>10</xdr:col>
      <xdr:colOff>638175</xdr:colOff>
      <xdr:row>112</xdr:row>
      <xdr:rowOff>38100</xdr:rowOff>
    </xdr:from>
    <xdr:ext cx="2876550" cy="1114425"/>
    <xdr:sp>
      <xdr:nvSpPr>
        <xdr:cNvPr id="3" name="Text Box 54"/>
        <xdr:cNvSpPr txBox="1">
          <a:spLocks noChangeArrowheads="1"/>
        </xdr:cNvSpPr>
      </xdr:nvSpPr>
      <xdr:spPr>
        <a:xfrm>
          <a:off x="8458200" y="31632525"/>
          <a:ext cx="287655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จ.ส.อ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( ปฏิเวช  ยานะนวล )
</a:t>
          </a:r>
          <a:r>
            <a:rPr lang="en-US" cap="none" sz="15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ปลัดองค์การบริหารส่วนตำบลท่าสาย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52</xdr:row>
      <xdr:rowOff>0</xdr:rowOff>
    </xdr:from>
    <xdr:to>
      <xdr:col>2</xdr:col>
      <xdr:colOff>914400</xdr:colOff>
      <xdr:row>86</xdr:row>
      <xdr:rowOff>9525</xdr:rowOff>
    </xdr:to>
    <xdr:sp>
      <xdr:nvSpPr>
        <xdr:cNvPr id="1" name="Line 1"/>
        <xdr:cNvSpPr>
          <a:spLocks/>
        </xdr:cNvSpPr>
      </xdr:nvSpPr>
      <xdr:spPr>
        <a:xfrm>
          <a:off x="6696075" y="15182850"/>
          <a:ext cx="0" cy="940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52</xdr:row>
      <xdr:rowOff>0</xdr:rowOff>
    </xdr:from>
    <xdr:to>
      <xdr:col>3</xdr:col>
      <xdr:colOff>876300</xdr:colOff>
      <xdr:row>86</xdr:row>
      <xdr:rowOff>9525</xdr:rowOff>
    </xdr:to>
    <xdr:sp>
      <xdr:nvSpPr>
        <xdr:cNvPr id="2" name="Line 2"/>
        <xdr:cNvSpPr>
          <a:spLocks/>
        </xdr:cNvSpPr>
      </xdr:nvSpPr>
      <xdr:spPr>
        <a:xfrm>
          <a:off x="7772400" y="15182850"/>
          <a:ext cx="0" cy="940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876300</xdr:colOff>
      <xdr:row>52</xdr:row>
      <xdr:rowOff>0</xdr:rowOff>
    </xdr:from>
    <xdr:to>
      <xdr:col>3</xdr:col>
      <xdr:colOff>876300</xdr:colOff>
      <xdr:row>88</xdr:row>
      <xdr:rowOff>9525</xdr:rowOff>
    </xdr:to>
    <xdr:sp>
      <xdr:nvSpPr>
        <xdr:cNvPr id="3" name="Line 2"/>
        <xdr:cNvSpPr>
          <a:spLocks/>
        </xdr:cNvSpPr>
      </xdr:nvSpPr>
      <xdr:spPr>
        <a:xfrm>
          <a:off x="7772400" y="15182850"/>
          <a:ext cx="0" cy="9953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V84"/>
  <sheetViews>
    <sheetView zoomScaleSheetLayoutView="75" zoomScalePageLayoutView="0" workbookViewId="0" topLeftCell="A14">
      <selection activeCell="F24" sqref="F24"/>
    </sheetView>
  </sheetViews>
  <sheetFormatPr defaultColWidth="9.140625" defaultRowHeight="21.75"/>
  <cols>
    <col min="1" max="3" width="9.140625" style="13" customWidth="1"/>
    <col min="4" max="4" width="28.8515625" style="13" customWidth="1"/>
    <col min="5" max="5" width="11.00390625" style="13" customWidth="1"/>
    <col min="6" max="7" width="20.8515625" style="13" customWidth="1"/>
    <col min="8" max="8" width="14.00390625" style="13" customWidth="1"/>
    <col min="9" max="9" width="17.140625" style="13" customWidth="1"/>
    <col min="10" max="16384" width="9.140625" style="13" customWidth="1"/>
  </cols>
  <sheetData>
    <row r="1" spans="1:7" ht="26.25">
      <c r="A1" s="578" t="s">
        <v>33</v>
      </c>
      <c r="B1" s="578"/>
      <c r="C1" s="578"/>
      <c r="D1" s="578"/>
      <c r="E1" s="578"/>
      <c r="F1" s="578"/>
      <c r="G1" s="578"/>
    </row>
    <row r="2" spans="1:7" ht="23.25">
      <c r="A2" s="579" t="s">
        <v>369</v>
      </c>
      <c r="B2" s="579"/>
      <c r="C2" s="579"/>
      <c r="D2" s="579"/>
      <c r="E2" s="579"/>
      <c r="F2" s="579"/>
      <c r="G2" s="579"/>
    </row>
    <row r="3" spans="1:7" ht="23.25">
      <c r="A3" s="580" t="s">
        <v>569</v>
      </c>
      <c r="B3" s="580"/>
      <c r="C3" s="580"/>
      <c r="D3" s="580"/>
      <c r="E3" s="580"/>
      <c r="F3" s="580"/>
      <c r="G3" s="580"/>
    </row>
    <row r="4" spans="1:7" ht="6" customHeight="1">
      <c r="A4" s="106"/>
      <c r="B4" s="106"/>
      <c r="C4" s="106"/>
      <c r="D4" s="106"/>
      <c r="E4" s="106"/>
      <c r="F4" s="106"/>
      <c r="G4" s="106"/>
    </row>
    <row r="5" spans="1:7" ht="21.75">
      <c r="A5" s="570" t="s">
        <v>35</v>
      </c>
      <c r="B5" s="571"/>
      <c r="C5" s="571"/>
      <c r="D5" s="572"/>
      <c r="E5" s="576" t="s">
        <v>34</v>
      </c>
      <c r="F5" s="576" t="s">
        <v>36</v>
      </c>
      <c r="G5" s="576" t="s">
        <v>37</v>
      </c>
    </row>
    <row r="6" spans="1:7" ht="21.75">
      <c r="A6" s="581"/>
      <c r="B6" s="582"/>
      <c r="C6" s="582"/>
      <c r="D6" s="583"/>
      <c r="E6" s="584"/>
      <c r="F6" s="584"/>
      <c r="G6" s="584"/>
    </row>
    <row r="7" spans="1:7" ht="23.25">
      <c r="A7" s="585" t="s">
        <v>38</v>
      </c>
      <c r="B7" s="586"/>
      <c r="C7" s="586"/>
      <c r="D7" s="586"/>
      <c r="E7" s="107" t="s">
        <v>291</v>
      </c>
      <c r="F7" s="464">
        <v>32387</v>
      </c>
      <c r="G7" s="108"/>
    </row>
    <row r="8" spans="1:7" ht="23.25">
      <c r="A8" s="109" t="s">
        <v>39</v>
      </c>
      <c r="B8" s="110"/>
      <c r="C8" s="110"/>
      <c r="D8" s="110"/>
      <c r="E8" s="111" t="s">
        <v>292</v>
      </c>
      <c r="F8" s="285">
        <v>0</v>
      </c>
      <c r="G8" s="112"/>
    </row>
    <row r="9" spans="1:8" ht="23.25">
      <c r="A9" s="567" t="s">
        <v>97</v>
      </c>
      <c r="B9" s="568"/>
      <c r="C9" s="568"/>
      <c r="D9" s="568"/>
      <c r="E9" s="111" t="s">
        <v>293</v>
      </c>
      <c r="F9" s="285">
        <v>15512.31</v>
      </c>
      <c r="G9" s="112"/>
      <c r="H9" s="296"/>
    </row>
    <row r="10" spans="1:7" ht="23.25">
      <c r="A10" s="109" t="s">
        <v>103</v>
      </c>
      <c r="B10" s="110"/>
      <c r="C10" s="110"/>
      <c r="D10" s="110"/>
      <c r="E10" s="111" t="s">
        <v>293</v>
      </c>
      <c r="F10" s="285">
        <v>0</v>
      </c>
      <c r="G10" s="112"/>
    </row>
    <row r="11" spans="1:7" ht="23.25">
      <c r="A11" s="109" t="s">
        <v>111</v>
      </c>
      <c r="B11" s="110"/>
      <c r="C11" s="110"/>
      <c r="D11" s="110"/>
      <c r="E11" s="111" t="s">
        <v>293</v>
      </c>
      <c r="F11" s="285">
        <v>0</v>
      </c>
      <c r="G11" s="112"/>
    </row>
    <row r="12" spans="1:7" ht="23.25">
      <c r="A12" s="109" t="s">
        <v>96</v>
      </c>
      <c r="B12" s="110"/>
      <c r="C12" s="110"/>
      <c r="D12" s="110"/>
      <c r="E12" s="111" t="s">
        <v>294</v>
      </c>
      <c r="F12" s="284">
        <v>1936.2</v>
      </c>
      <c r="G12" s="112"/>
    </row>
    <row r="13" spans="1:8" ht="23.25">
      <c r="A13" s="567" t="s">
        <v>98</v>
      </c>
      <c r="B13" s="568"/>
      <c r="C13" s="568"/>
      <c r="D13" s="568"/>
      <c r="E13" s="111" t="s">
        <v>294</v>
      </c>
      <c r="F13" s="284">
        <v>14912405.27</v>
      </c>
      <c r="G13" s="112"/>
      <c r="H13" s="46"/>
    </row>
    <row r="14" spans="1:7" ht="23.25">
      <c r="A14" s="567" t="s">
        <v>99</v>
      </c>
      <c r="B14" s="568"/>
      <c r="C14" s="568"/>
      <c r="D14" s="568"/>
      <c r="E14" s="111" t="s">
        <v>294</v>
      </c>
      <c r="F14" s="284">
        <v>1220292.24</v>
      </c>
      <c r="G14" s="112"/>
    </row>
    <row r="15" spans="1:256" ht="23.25">
      <c r="A15" s="567" t="s">
        <v>100</v>
      </c>
      <c r="B15" s="568"/>
      <c r="C15" s="568"/>
      <c r="D15" s="568"/>
      <c r="E15" s="111" t="s">
        <v>295</v>
      </c>
      <c r="F15" s="284">
        <v>3008480.49</v>
      </c>
      <c r="G15" s="112"/>
      <c r="H15" s="113">
        <f>SUM(F7:F17)</f>
        <v>25478844.36</v>
      </c>
      <c r="I15" s="113">
        <f>H15-'รับ-จ่ายเงินสด (2)'!G67</f>
        <v>0</v>
      </c>
      <c r="IV15" s="13">
        <v>0</v>
      </c>
    </row>
    <row r="16" spans="1:7" ht="23.25">
      <c r="A16" s="109" t="s">
        <v>171</v>
      </c>
      <c r="B16" s="110"/>
      <c r="C16" s="110"/>
      <c r="D16" s="110"/>
      <c r="E16" s="111" t="s">
        <v>295</v>
      </c>
      <c r="F16" s="284">
        <v>6282085.42</v>
      </c>
      <c r="G16" s="112"/>
    </row>
    <row r="17" spans="1:8" ht="23.25">
      <c r="A17" s="567" t="s">
        <v>440</v>
      </c>
      <c r="B17" s="568"/>
      <c r="C17" s="568"/>
      <c r="D17" s="568"/>
      <c r="E17" s="111" t="s">
        <v>296</v>
      </c>
      <c r="F17" s="285">
        <v>5745.43</v>
      </c>
      <c r="G17" s="112"/>
      <c r="H17" s="46"/>
    </row>
    <row r="18" spans="1:7" ht="23.25">
      <c r="A18" s="567" t="s">
        <v>47</v>
      </c>
      <c r="B18" s="568"/>
      <c r="C18" s="568"/>
      <c r="D18" s="568"/>
      <c r="E18" s="111" t="s">
        <v>297</v>
      </c>
      <c r="F18" s="285">
        <f>234681.24+31292.32+16540.32+11021.32-1240+9783.32+9783.32</f>
        <v>311861.84</v>
      </c>
      <c r="G18" s="112"/>
    </row>
    <row r="19" spans="1:7" ht="23.25">
      <c r="A19" s="567" t="s">
        <v>47</v>
      </c>
      <c r="B19" s="568"/>
      <c r="C19" s="568"/>
      <c r="D19" s="568"/>
      <c r="E19" s="111"/>
      <c r="F19" s="285">
        <f>110000+31500+31500+31500+31000+31000</f>
        <v>266500</v>
      </c>
      <c r="G19" s="112"/>
    </row>
    <row r="20" spans="1:9" ht="23.25">
      <c r="A20" s="567" t="s">
        <v>41</v>
      </c>
      <c r="B20" s="568"/>
      <c r="C20" s="568"/>
      <c r="D20" s="568"/>
      <c r="E20" s="111" t="s">
        <v>298</v>
      </c>
      <c r="F20" s="285">
        <f>1163003.58+580535+800+584628+583235.25+576270.85+576905</f>
        <v>4065377.68</v>
      </c>
      <c r="G20" s="112"/>
      <c r="I20" s="296"/>
    </row>
    <row r="21" spans="1:7" ht="23.25">
      <c r="A21" s="567" t="s">
        <v>55</v>
      </c>
      <c r="B21" s="568"/>
      <c r="C21" s="568"/>
      <c r="D21" s="568"/>
      <c r="E21" s="111" t="s">
        <v>299</v>
      </c>
      <c r="F21" s="285">
        <f>225990+108470+99640+99640+99640+92780</f>
        <v>726160</v>
      </c>
      <c r="G21" s="112"/>
    </row>
    <row r="22" spans="1:7" ht="23.25">
      <c r="A22" s="567" t="s">
        <v>55</v>
      </c>
      <c r="B22" s="568"/>
      <c r="C22" s="568"/>
      <c r="D22" s="568"/>
      <c r="E22" s="111" t="s">
        <v>300</v>
      </c>
      <c r="F22" s="285">
        <f>7688.39+2910+2910+2910+2910+2910</f>
        <v>22238.39</v>
      </c>
      <c r="G22" s="112"/>
    </row>
    <row r="23" spans="1:7" ht="23.25">
      <c r="A23" s="567" t="s">
        <v>42</v>
      </c>
      <c r="B23" s="568"/>
      <c r="C23" s="568"/>
      <c r="D23" s="568"/>
      <c r="E23" s="111" t="s">
        <v>301</v>
      </c>
      <c r="F23" s="285">
        <f>66809+53180+12173+49043+27357+18255</f>
        <v>226817</v>
      </c>
      <c r="G23" s="112"/>
    </row>
    <row r="24" spans="1:10" ht="23.25">
      <c r="A24" s="567" t="s">
        <v>43</v>
      </c>
      <c r="B24" s="568"/>
      <c r="C24" s="568"/>
      <c r="D24" s="568"/>
      <c r="E24" s="111" t="s">
        <v>302</v>
      </c>
      <c r="F24" s="285">
        <f>289605.25+282502.5+1118+122469.75+19736+208416.75+6140+1040+2066+1966+878+64966+9440+800+800+108599.34+1200+1532+7840+8400+10608+3000-6800</f>
        <v>1146323.59</v>
      </c>
      <c r="G24" s="112"/>
      <c r="I24" s="46"/>
      <c r="J24" s="46"/>
    </row>
    <row r="25" spans="1:9" ht="23.25">
      <c r="A25" s="567" t="s">
        <v>43</v>
      </c>
      <c r="B25" s="568"/>
      <c r="C25" s="568"/>
      <c r="D25" s="568"/>
      <c r="E25" s="111" t="s">
        <v>303</v>
      </c>
      <c r="F25" s="285">
        <f>101060+58929.74+82900+39700+17400+231999.5+3000+16560+117950+160000+172685.5+12600</f>
        <v>1014784.74</v>
      </c>
      <c r="G25" s="112"/>
      <c r="I25" s="46"/>
    </row>
    <row r="26" spans="1:7" ht="23.25">
      <c r="A26" s="567" t="s">
        <v>44</v>
      </c>
      <c r="B26" s="568"/>
      <c r="C26" s="568"/>
      <c r="D26" s="568"/>
      <c r="E26" s="111" t="s">
        <v>304</v>
      </c>
      <c r="F26" s="285">
        <f>28175.88+102403.42+130036.88+78280.61+39420.53+26237.25</f>
        <v>404554.56999999995</v>
      </c>
      <c r="G26" s="112"/>
    </row>
    <row r="27" spans="1:7" ht="23.25">
      <c r="A27" s="567" t="s">
        <v>44</v>
      </c>
      <c r="B27" s="568"/>
      <c r="C27" s="568"/>
      <c r="D27" s="568"/>
      <c r="E27" s="111" t="s">
        <v>499</v>
      </c>
      <c r="F27" s="285">
        <f>60540.48+63032.8+42481.53+9682.4+57521.1+92689.8</f>
        <v>325948.11</v>
      </c>
      <c r="G27" s="112"/>
    </row>
    <row r="28" spans="1:8" ht="23.25">
      <c r="A28" s="567" t="s">
        <v>45</v>
      </c>
      <c r="B28" s="568"/>
      <c r="C28" s="568"/>
      <c r="D28" s="568"/>
      <c r="E28" s="111" t="s">
        <v>305</v>
      </c>
      <c r="F28" s="285">
        <f>50550.14+21986.25+24667.52+23497.04+24033.95+22022.56</f>
        <v>166757.46000000002</v>
      </c>
      <c r="G28" s="112"/>
      <c r="H28" s="99"/>
    </row>
    <row r="29" spans="1:8" ht="23.25">
      <c r="A29" s="567" t="s">
        <v>45</v>
      </c>
      <c r="B29" s="568"/>
      <c r="C29" s="568"/>
      <c r="D29" s="568"/>
      <c r="E29" s="111" t="s">
        <v>500</v>
      </c>
      <c r="F29" s="285">
        <f>6522.68+18979.78+31102.33</f>
        <v>56604.79</v>
      </c>
      <c r="G29" s="112"/>
      <c r="H29" s="99"/>
    </row>
    <row r="30" spans="1:8" ht="23.25">
      <c r="A30" s="567" t="s">
        <v>46</v>
      </c>
      <c r="B30" s="568"/>
      <c r="C30" s="568"/>
      <c r="D30" s="568"/>
      <c r="E30" s="111" t="s">
        <v>306</v>
      </c>
      <c r="F30" s="285">
        <f>90000+54803.51</f>
        <v>144803.51</v>
      </c>
      <c r="G30" s="112"/>
      <c r="H30" s="99"/>
    </row>
    <row r="31" spans="1:7" ht="23.25">
      <c r="A31" s="567" t="s">
        <v>46</v>
      </c>
      <c r="B31" s="568"/>
      <c r="C31" s="568"/>
      <c r="D31" s="568"/>
      <c r="E31" s="111" t="s">
        <v>306</v>
      </c>
      <c r="F31" s="285">
        <f>1045555+108000+36000+178070.98+50000+149068.24</f>
        <v>1566694.22</v>
      </c>
      <c r="G31" s="112"/>
    </row>
    <row r="32" spans="1:7" ht="23.25">
      <c r="A32" s="567" t="s">
        <v>110</v>
      </c>
      <c r="B32" s="568"/>
      <c r="C32" s="568"/>
      <c r="D32" s="569"/>
      <c r="E32" s="116" t="s">
        <v>307</v>
      </c>
      <c r="F32" s="460">
        <f>6100+5082+9890+10400</f>
        <v>31472</v>
      </c>
      <c r="G32" s="112"/>
    </row>
    <row r="33" spans="1:7" ht="23.25">
      <c r="A33" s="567" t="s">
        <v>110</v>
      </c>
      <c r="B33" s="568"/>
      <c r="C33" s="568"/>
      <c r="D33" s="569"/>
      <c r="E33" s="116"/>
      <c r="F33" s="460">
        <v>59000</v>
      </c>
      <c r="G33" s="112"/>
    </row>
    <row r="34" spans="1:7" ht="23.25">
      <c r="A34" s="109" t="s">
        <v>122</v>
      </c>
      <c r="B34" s="110"/>
      <c r="C34" s="110"/>
      <c r="D34" s="298"/>
      <c r="E34" s="116"/>
      <c r="F34" s="460">
        <v>24580</v>
      </c>
      <c r="G34" s="112"/>
    </row>
    <row r="35" spans="1:7" ht="23.25">
      <c r="A35" s="109" t="s">
        <v>122</v>
      </c>
      <c r="B35" s="110"/>
      <c r="C35" s="110"/>
      <c r="D35" s="298"/>
      <c r="E35" s="116"/>
      <c r="F35" s="460">
        <v>4620</v>
      </c>
      <c r="G35" s="112"/>
    </row>
    <row r="36" spans="1:7" ht="23.25">
      <c r="A36" s="109" t="s">
        <v>79</v>
      </c>
      <c r="B36" s="110"/>
      <c r="C36" s="110"/>
      <c r="D36" s="298"/>
      <c r="E36" s="116"/>
      <c r="F36" s="460">
        <f>5100+5000+27400</f>
        <v>37500</v>
      </c>
      <c r="G36" s="112"/>
    </row>
    <row r="37" spans="1:9" ht="23.25">
      <c r="A37" s="109" t="s">
        <v>79</v>
      </c>
      <c r="B37" s="110"/>
      <c r="C37" s="110"/>
      <c r="D37" s="298"/>
      <c r="E37" s="116"/>
      <c r="F37" s="460">
        <f>279000+50600</f>
        <v>329600</v>
      </c>
      <c r="G37" s="112"/>
      <c r="I37" s="13" t="s">
        <v>117</v>
      </c>
    </row>
    <row r="38" spans="1:7" ht="23.25">
      <c r="A38" s="109" t="s">
        <v>370</v>
      </c>
      <c r="B38" s="110"/>
      <c r="C38" s="110"/>
      <c r="D38" s="298"/>
      <c r="E38" s="116" t="s">
        <v>317</v>
      </c>
      <c r="F38" s="299">
        <f>'ลูกหนี้เงินยืม 2'!H64</f>
        <v>30008</v>
      </c>
      <c r="G38" s="112"/>
    </row>
    <row r="39" spans="1:7" ht="22.5" customHeight="1">
      <c r="A39" s="117" t="s">
        <v>371</v>
      </c>
      <c r="B39" s="110"/>
      <c r="C39" s="110"/>
      <c r="D39" s="298"/>
      <c r="E39" s="116"/>
      <c r="F39" s="299">
        <f>'ลูกหนี้เงินยืม 2'!H32</f>
        <v>878670</v>
      </c>
      <c r="G39" s="112"/>
    </row>
    <row r="40" spans="1:7" ht="23.25">
      <c r="A40" s="117" t="s">
        <v>40</v>
      </c>
      <c r="B40" s="56"/>
      <c r="C40" s="56"/>
      <c r="D40" s="165"/>
      <c r="E40" s="116" t="s">
        <v>308</v>
      </c>
      <c r="F40" s="286">
        <v>77302.52</v>
      </c>
      <c r="G40" s="112"/>
    </row>
    <row r="41" spans="1:7" ht="23.25">
      <c r="A41" s="117"/>
      <c r="B41" s="56"/>
      <c r="C41" s="56"/>
      <c r="D41" s="165"/>
      <c r="E41" s="116"/>
      <c r="F41" s="286"/>
      <c r="G41" s="112"/>
    </row>
    <row r="42" spans="1:7" ht="23.25">
      <c r="A42" s="120"/>
      <c r="B42" s="120"/>
      <c r="C42" s="120"/>
      <c r="D42" s="120"/>
      <c r="E42" s="523"/>
      <c r="F42" s="524"/>
      <c r="G42" s="508"/>
    </row>
    <row r="43" spans="1:7" ht="21.75">
      <c r="A43" s="570" t="s">
        <v>35</v>
      </c>
      <c r="B43" s="571"/>
      <c r="C43" s="571"/>
      <c r="D43" s="572"/>
      <c r="E43" s="576" t="s">
        <v>34</v>
      </c>
      <c r="F43" s="576" t="s">
        <v>36</v>
      </c>
      <c r="G43" s="576" t="s">
        <v>37</v>
      </c>
    </row>
    <row r="44" spans="1:7" ht="21.75">
      <c r="A44" s="573"/>
      <c r="B44" s="574"/>
      <c r="C44" s="574"/>
      <c r="D44" s="575"/>
      <c r="E44" s="577"/>
      <c r="F44" s="577"/>
      <c r="G44" s="577"/>
    </row>
    <row r="45" spans="1:7" s="14" customFormat="1" ht="23.25">
      <c r="A45" s="117" t="s">
        <v>477</v>
      </c>
      <c r="B45" s="56"/>
      <c r="C45" s="56"/>
      <c r="D45" s="165"/>
      <c r="E45" s="116"/>
      <c r="F45" s="286"/>
      <c r="G45" s="461">
        <f>'รายจ่ายค้างจ่าย 1'!E13</f>
        <v>500</v>
      </c>
    </row>
    <row r="46" spans="1:9" ht="23.25">
      <c r="A46" s="109" t="s">
        <v>478</v>
      </c>
      <c r="B46" s="110"/>
      <c r="C46" s="110"/>
      <c r="D46" s="298"/>
      <c r="E46" s="116" t="s">
        <v>309</v>
      </c>
      <c r="F46" s="286"/>
      <c r="G46" s="461">
        <f>รายละเอียดเงินสะสม!G18</f>
        <v>6960348.699999999</v>
      </c>
      <c r="I46" s="296">
        <f>F46-G46</f>
        <v>-6960348.699999999</v>
      </c>
    </row>
    <row r="47" spans="1:7" ht="23.25">
      <c r="A47" s="109" t="s">
        <v>104</v>
      </c>
      <c r="B47" s="110"/>
      <c r="C47" s="110"/>
      <c r="D47" s="298"/>
      <c r="E47" s="116" t="s">
        <v>310</v>
      </c>
      <c r="F47" s="286"/>
      <c r="G47" s="461">
        <v>7984179.01</v>
      </c>
    </row>
    <row r="48" spans="1:7" ht="23.25">
      <c r="A48" s="117" t="s">
        <v>114</v>
      </c>
      <c r="B48" s="56"/>
      <c r="C48" s="56"/>
      <c r="D48" s="165"/>
      <c r="E48" s="118">
        <v>400000</v>
      </c>
      <c r="F48" s="286"/>
      <c r="G48" s="461">
        <f>3060845.97+2302976.39+938376.87+1513749.18+10352494.24+244144.04</f>
        <v>18412586.689999998</v>
      </c>
    </row>
    <row r="49" spans="1:7" ht="23.25">
      <c r="A49" s="117" t="s">
        <v>479</v>
      </c>
      <c r="B49" s="56"/>
      <c r="C49" s="56"/>
      <c r="D49" s="165"/>
      <c r="E49" s="118"/>
      <c r="F49" s="286"/>
      <c r="G49" s="461">
        <f>รายละเอียดเงินอุดหนุนเฉพาะกิจ!G12</f>
        <v>1488176</v>
      </c>
    </row>
    <row r="50" spans="1:7" ht="23.25">
      <c r="A50" s="117" t="s">
        <v>480</v>
      </c>
      <c r="B50" s="56"/>
      <c r="C50" s="56"/>
      <c r="D50" s="165"/>
      <c r="E50" s="118">
        <v>230100</v>
      </c>
      <c r="F50" s="286"/>
      <c r="G50" s="461">
        <f>รายละเอียดเงินรับฝาก!G29</f>
        <v>2299612.34</v>
      </c>
    </row>
    <row r="51" spans="1:7" ht="23.25">
      <c r="A51" s="117" t="s">
        <v>481</v>
      </c>
      <c r="B51" s="56"/>
      <c r="C51" s="56"/>
      <c r="D51" s="165"/>
      <c r="E51" s="118">
        <v>210500</v>
      </c>
      <c r="F51" s="300"/>
      <c r="G51" s="462">
        <f>1588900-1337279.96</f>
        <v>251620.04000000004</v>
      </c>
    </row>
    <row r="52" spans="1:7" ht="24" thickBot="1">
      <c r="A52" s="119"/>
      <c r="B52" s="120"/>
      <c r="C52" s="120"/>
      <c r="D52" s="301"/>
      <c r="E52" s="114"/>
      <c r="F52" s="287">
        <f>SUM(F7:F51)</f>
        <v>37397022.779999994</v>
      </c>
      <c r="G52" s="463">
        <f>SUM(G45:G51)</f>
        <v>37397022.779999994</v>
      </c>
    </row>
    <row r="53" spans="1:7" ht="24" thickTop="1">
      <c r="A53" s="56"/>
      <c r="B53" s="56"/>
      <c r="C53" s="56"/>
      <c r="D53" s="56"/>
      <c r="E53" s="115"/>
      <c r="F53" s="522"/>
      <c r="G53" s="466"/>
    </row>
    <row r="54" spans="1:8" ht="23.25">
      <c r="A54" s="56"/>
      <c r="B54" s="56"/>
      <c r="C54" s="56"/>
      <c r="D54" s="56"/>
      <c r="E54" s="115"/>
      <c r="F54" s="522">
        <f>F52-G52</f>
        <v>0</v>
      </c>
      <c r="G54" s="466"/>
      <c r="H54" s="532"/>
    </row>
    <row r="55" spans="1:7" ht="23.25">
      <c r="A55" s="56"/>
      <c r="B55" s="56"/>
      <c r="C55" s="56"/>
      <c r="D55" s="56"/>
      <c r="E55" s="115"/>
      <c r="F55" s="522"/>
      <c r="G55" s="466"/>
    </row>
    <row r="56" spans="1:7" ht="22.5">
      <c r="A56" s="587"/>
      <c r="B56" s="587"/>
      <c r="C56" s="587"/>
      <c r="D56" s="587"/>
      <c r="E56" s="587"/>
      <c r="F56" s="587"/>
      <c r="G56" s="587"/>
    </row>
    <row r="57" spans="1:7" ht="22.5">
      <c r="A57" s="587"/>
      <c r="B57" s="587"/>
      <c r="C57" s="587"/>
      <c r="D57" s="587"/>
      <c r="E57" s="587"/>
      <c r="F57" s="587"/>
      <c r="G57" s="587"/>
    </row>
    <row r="58" spans="1:7" ht="21.75">
      <c r="A58" s="587"/>
      <c r="B58" s="587"/>
      <c r="C58" s="587"/>
      <c r="D58" s="587"/>
      <c r="E58" s="587"/>
      <c r="F58" s="587"/>
      <c r="G58" s="587"/>
    </row>
    <row r="59" ht="21.75"/>
    <row r="60" ht="21.75"/>
    <row r="61" ht="21.75">
      <c r="D61" s="125"/>
    </row>
    <row r="62" ht="21.75"/>
    <row r="63" ht="21.75">
      <c r="F63" s="13" t="s">
        <v>117</v>
      </c>
    </row>
    <row r="73" spans="1:7" ht="22.5">
      <c r="A73" s="587"/>
      <c r="B73" s="587"/>
      <c r="C73" s="587"/>
      <c r="D73" s="587"/>
      <c r="E73" s="587"/>
      <c r="F73" s="587"/>
      <c r="G73" s="587"/>
    </row>
    <row r="74" spans="1:7" ht="22.5">
      <c r="A74" s="587"/>
      <c r="B74" s="587"/>
      <c r="C74" s="587"/>
      <c r="D74" s="587"/>
      <c r="E74" s="587"/>
      <c r="F74" s="587"/>
      <c r="G74" s="587"/>
    </row>
    <row r="75" spans="1:7" ht="22.5">
      <c r="A75" s="587"/>
      <c r="B75" s="587"/>
      <c r="C75" s="587"/>
      <c r="D75" s="587"/>
      <c r="E75" s="587"/>
      <c r="F75" s="587"/>
      <c r="G75" s="587"/>
    </row>
    <row r="82" spans="1:7" ht="22.5">
      <c r="A82" s="587"/>
      <c r="B82" s="587"/>
      <c r="C82" s="587"/>
      <c r="D82" s="587"/>
      <c r="E82" s="587"/>
      <c r="F82" s="587"/>
      <c r="G82" s="587"/>
    </row>
    <row r="83" spans="1:7" ht="22.5">
      <c r="A83" s="587"/>
      <c r="B83" s="587"/>
      <c r="C83" s="587"/>
      <c r="D83" s="587"/>
      <c r="E83" s="587"/>
      <c r="F83" s="587"/>
      <c r="G83" s="587"/>
    </row>
    <row r="84" spans="1:7" ht="22.5">
      <c r="A84" s="587"/>
      <c r="B84" s="587"/>
      <c r="C84" s="587"/>
      <c r="D84" s="587"/>
      <c r="E84" s="587"/>
      <c r="F84" s="587"/>
      <c r="G84" s="587"/>
    </row>
  </sheetData>
  <sheetProtection/>
  <mergeCells count="42">
    <mergeCell ref="A56:G56"/>
    <mergeCell ref="A31:D31"/>
    <mergeCell ref="A57:G57"/>
    <mergeCell ref="A84:G84"/>
    <mergeCell ref="A73:G73"/>
    <mergeCell ref="A74:G74"/>
    <mergeCell ref="A75:G75"/>
    <mergeCell ref="A82:G82"/>
    <mergeCell ref="A83:G83"/>
    <mergeCell ref="A58:G58"/>
    <mergeCell ref="A7:D7"/>
    <mergeCell ref="A9:D9"/>
    <mergeCell ref="A13:D13"/>
    <mergeCell ref="A22:D22"/>
    <mergeCell ref="A14:D14"/>
    <mergeCell ref="A15:D15"/>
    <mergeCell ref="A17:D17"/>
    <mergeCell ref="A18:D18"/>
    <mergeCell ref="A20:D20"/>
    <mergeCell ref="A19:D19"/>
    <mergeCell ref="A1:G1"/>
    <mergeCell ref="A2:G2"/>
    <mergeCell ref="A3:G3"/>
    <mergeCell ref="A5:D6"/>
    <mergeCell ref="E5:E6"/>
    <mergeCell ref="F5:F6"/>
    <mergeCell ref="G5:G6"/>
    <mergeCell ref="A25:D25"/>
    <mergeCell ref="A21:D21"/>
    <mergeCell ref="A23:D23"/>
    <mergeCell ref="A24:D24"/>
    <mergeCell ref="A26:D26"/>
    <mergeCell ref="A28:D28"/>
    <mergeCell ref="A33:D33"/>
    <mergeCell ref="A43:D44"/>
    <mergeCell ref="E43:E44"/>
    <mergeCell ref="F43:F44"/>
    <mergeCell ref="G43:G44"/>
    <mergeCell ref="A27:D27"/>
    <mergeCell ref="A30:D30"/>
    <mergeCell ref="A32:D32"/>
    <mergeCell ref="A29:D29"/>
  </mergeCells>
  <printOptions/>
  <pageMargins left="0.62" right="0.1968503937007874" top="0.1968503937007874" bottom="0.4330708661417323" header="0.11811023622047245" footer="0.2755905511811024"/>
  <pageSetup horizontalDpi="180" verticalDpi="18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J71"/>
  <sheetViews>
    <sheetView zoomScaleSheetLayoutView="100" zoomScalePageLayoutView="0" workbookViewId="0" topLeftCell="B22">
      <selection activeCell="J30" sqref="J30:K30"/>
    </sheetView>
  </sheetViews>
  <sheetFormatPr defaultColWidth="9.140625" defaultRowHeight="21.75"/>
  <cols>
    <col min="1" max="1" width="2.28125" style="13" customWidth="1"/>
    <col min="2" max="2" width="5.00390625" style="13" customWidth="1"/>
    <col min="3" max="3" width="14.00390625" style="35" customWidth="1"/>
    <col min="4" max="4" width="14.00390625" style="13" customWidth="1"/>
    <col min="5" max="5" width="11.57421875" style="13" customWidth="1"/>
    <col min="6" max="6" width="12.8515625" style="13" customWidth="1"/>
    <col min="7" max="7" width="60.140625" style="13" customWidth="1"/>
    <col min="8" max="8" width="11.7109375" style="13" customWidth="1"/>
    <col min="9" max="16384" width="9.140625" style="13" customWidth="1"/>
  </cols>
  <sheetData>
    <row r="1" spans="2:8" ht="30.75" customHeight="1">
      <c r="B1" s="14"/>
      <c r="C1" s="15"/>
      <c r="D1" s="14"/>
      <c r="E1" s="14"/>
      <c r="F1" s="14"/>
      <c r="G1" s="14"/>
      <c r="H1" s="16" t="s">
        <v>346</v>
      </c>
    </row>
    <row r="2" spans="2:8" ht="26.25">
      <c r="B2" s="578" t="s">
        <v>33</v>
      </c>
      <c r="C2" s="578"/>
      <c r="D2" s="578"/>
      <c r="E2" s="578"/>
      <c r="F2" s="578"/>
      <c r="G2" s="578"/>
      <c r="H2" s="578"/>
    </row>
    <row r="3" spans="2:8" ht="26.25">
      <c r="B3" s="578" t="s">
        <v>123</v>
      </c>
      <c r="C3" s="578"/>
      <c r="D3" s="578"/>
      <c r="E3" s="578"/>
      <c r="F3" s="578"/>
      <c r="G3" s="578"/>
      <c r="H3" s="578"/>
    </row>
    <row r="4" spans="2:8" ht="26.25">
      <c r="B4" s="657" t="str">
        <f>งบทดลอง1!A3</f>
        <v>ณ  วันที่  30  เมษายน  2555</v>
      </c>
      <c r="C4" s="657"/>
      <c r="D4" s="657"/>
      <c r="E4" s="657"/>
      <c r="F4" s="657"/>
      <c r="G4" s="657"/>
      <c r="H4" s="657"/>
    </row>
    <row r="5" spans="2:8" ht="22.5" customHeight="1">
      <c r="B5" s="17"/>
      <c r="C5" s="18"/>
      <c r="D5" s="17"/>
      <c r="E5" s="17"/>
      <c r="F5" s="17"/>
      <c r="G5" s="17"/>
      <c r="H5" s="17"/>
    </row>
    <row r="6" spans="2:8" ht="26.25" customHeight="1">
      <c r="B6" s="658" t="s">
        <v>84</v>
      </c>
      <c r="C6" s="95" t="s">
        <v>168</v>
      </c>
      <c r="D6" s="659" t="s">
        <v>125</v>
      </c>
      <c r="E6" s="660"/>
      <c r="F6" s="659" t="s">
        <v>35</v>
      </c>
      <c r="G6" s="660"/>
      <c r="H6" s="658" t="s">
        <v>51</v>
      </c>
    </row>
    <row r="7" spans="2:8" ht="26.25" customHeight="1">
      <c r="B7" s="664"/>
      <c r="C7" s="19" t="s">
        <v>169</v>
      </c>
      <c r="D7" s="661"/>
      <c r="E7" s="662"/>
      <c r="F7" s="661"/>
      <c r="G7" s="662"/>
      <c r="H7" s="658"/>
    </row>
    <row r="8" spans="2:8" ht="26.25" customHeight="1">
      <c r="B8" s="555">
        <v>2</v>
      </c>
      <c r="C8" s="326" t="s">
        <v>445</v>
      </c>
      <c r="D8" s="23" t="s">
        <v>447</v>
      </c>
      <c r="E8" s="24" t="s">
        <v>448</v>
      </c>
      <c r="F8" s="92" t="s">
        <v>484</v>
      </c>
      <c r="G8" s="92"/>
      <c r="H8" s="47">
        <v>10640</v>
      </c>
    </row>
    <row r="9" spans="2:8" ht="26.25" customHeight="1">
      <c r="B9" s="34"/>
      <c r="C9" s="465" t="s">
        <v>446</v>
      </c>
      <c r="D9" s="21"/>
      <c r="E9" s="22"/>
      <c r="F9" s="20"/>
      <c r="G9" s="20"/>
      <c r="H9" s="48"/>
    </row>
    <row r="10" spans="2:8" ht="26.25" customHeight="1">
      <c r="B10" s="33">
        <v>2</v>
      </c>
      <c r="C10" s="326" t="s">
        <v>468</v>
      </c>
      <c r="D10" s="23" t="s">
        <v>447</v>
      </c>
      <c r="E10" s="24" t="s">
        <v>448</v>
      </c>
      <c r="F10" s="92" t="s">
        <v>449</v>
      </c>
      <c r="G10" s="92"/>
      <c r="H10" s="47">
        <v>10640</v>
      </c>
    </row>
    <row r="11" spans="2:8" ht="26.25" customHeight="1">
      <c r="B11" s="34"/>
      <c r="C11" s="19" t="s">
        <v>466</v>
      </c>
      <c r="D11" s="21"/>
      <c r="E11" s="22"/>
      <c r="F11" s="20"/>
      <c r="G11" s="20"/>
      <c r="H11" s="48"/>
    </row>
    <row r="12" spans="2:8" ht="26.25" customHeight="1">
      <c r="B12" s="33">
        <v>3</v>
      </c>
      <c r="C12" s="326" t="s">
        <v>557</v>
      </c>
      <c r="D12" s="23" t="s">
        <v>375</v>
      </c>
      <c r="E12" s="24" t="s">
        <v>376</v>
      </c>
      <c r="F12" s="92" t="s">
        <v>467</v>
      </c>
      <c r="G12" s="92"/>
      <c r="H12" s="47">
        <v>13070</v>
      </c>
    </row>
    <row r="13" spans="2:8" ht="26.25" customHeight="1">
      <c r="B13" s="34"/>
      <c r="C13" s="19" t="s">
        <v>560</v>
      </c>
      <c r="D13" s="526"/>
      <c r="E13" s="527"/>
      <c r="F13" s="528"/>
      <c r="G13" s="529"/>
      <c r="H13" s="530"/>
    </row>
    <row r="14" spans="2:8" ht="26.25" customHeight="1">
      <c r="B14" s="33">
        <v>4</v>
      </c>
      <c r="C14" s="326" t="s">
        <v>559</v>
      </c>
      <c r="D14" s="23" t="s">
        <v>451</v>
      </c>
      <c r="E14" s="24" t="s">
        <v>377</v>
      </c>
      <c r="F14" s="92" t="s">
        <v>450</v>
      </c>
      <c r="G14" s="92"/>
      <c r="H14" s="47">
        <v>41280</v>
      </c>
    </row>
    <row r="15" spans="2:8" ht="26.25" customHeight="1">
      <c r="B15" s="34"/>
      <c r="C15" s="19" t="s">
        <v>560</v>
      </c>
      <c r="D15" s="21"/>
      <c r="E15" s="22"/>
      <c r="F15" s="20"/>
      <c r="G15" s="20"/>
      <c r="H15" s="48"/>
    </row>
    <row r="16" spans="2:8" ht="26.25" customHeight="1">
      <c r="B16" s="33">
        <v>5</v>
      </c>
      <c r="C16" s="326" t="s">
        <v>558</v>
      </c>
      <c r="D16" s="23" t="s">
        <v>447</v>
      </c>
      <c r="E16" s="24" t="s">
        <v>448</v>
      </c>
      <c r="F16" s="92" t="s">
        <v>449</v>
      </c>
      <c r="G16" s="92"/>
      <c r="H16" s="47">
        <v>10640</v>
      </c>
    </row>
    <row r="17" spans="2:8" ht="26.25" customHeight="1">
      <c r="B17" s="34"/>
      <c r="C17" s="19" t="s">
        <v>560</v>
      </c>
      <c r="D17" s="21"/>
      <c r="E17" s="22"/>
      <c r="F17" s="21"/>
      <c r="G17" s="22"/>
      <c r="H17" s="48"/>
    </row>
    <row r="18" spans="2:8" ht="23.25">
      <c r="B18" s="313">
        <v>6</v>
      </c>
      <c r="C18" s="325" t="s">
        <v>443</v>
      </c>
      <c r="D18" s="23" t="s">
        <v>375</v>
      </c>
      <c r="E18" s="24" t="s">
        <v>376</v>
      </c>
      <c r="F18" s="92" t="s">
        <v>467</v>
      </c>
      <c r="G18" s="92"/>
      <c r="H18" s="47">
        <v>13070</v>
      </c>
    </row>
    <row r="19" spans="2:8" ht="23.25">
      <c r="B19" s="458"/>
      <c r="C19" s="19" t="s">
        <v>561</v>
      </c>
      <c r="D19" s="21" t="s">
        <v>313</v>
      </c>
      <c r="E19" s="20"/>
      <c r="F19" s="507"/>
      <c r="G19" s="20"/>
      <c r="H19" s="48"/>
    </row>
    <row r="20" spans="2:8" ht="23.25">
      <c r="B20" s="32">
        <v>7</v>
      </c>
      <c r="C20" s="326" t="s">
        <v>559</v>
      </c>
      <c r="D20" s="23" t="s">
        <v>451</v>
      </c>
      <c r="E20" s="24" t="s">
        <v>377</v>
      </c>
      <c r="F20" s="92" t="s">
        <v>450</v>
      </c>
      <c r="G20" s="92"/>
      <c r="H20" s="47">
        <v>41280</v>
      </c>
    </row>
    <row r="21" spans="2:8" ht="23.25">
      <c r="B21" s="34"/>
      <c r="C21" s="19" t="s">
        <v>561</v>
      </c>
      <c r="D21" s="21"/>
      <c r="E21" s="22"/>
      <c r="F21" s="20"/>
      <c r="G21" s="20"/>
      <c r="H21" s="48"/>
    </row>
    <row r="22" spans="2:8" ht="23.25">
      <c r="B22" s="32">
        <v>8</v>
      </c>
      <c r="C22" s="326" t="s">
        <v>558</v>
      </c>
      <c r="D22" s="23" t="s">
        <v>447</v>
      </c>
      <c r="E22" s="24" t="s">
        <v>448</v>
      </c>
      <c r="F22" s="92" t="s">
        <v>449</v>
      </c>
      <c r="G22" s="92"/>
      <c r="H22" s="47">
        <v>10640</v>
      </c>
    </row>
    <row r="23" spans="2:8" ht="23.25">
      <c r="B23" s="34"/>
      <c r="C23" s="19" t="s">
        <v>561</v>
      </c>
      <c r="D23" s="21"/>
      <c r="E23" s="22"/>
      <c r="F23" s="21"/>
      <c r="G23" s="22"/>
      <c r="H23" s="48"/>
    </row>
    <row r="24" spans="2:8" ht="23.25">
      <c r="B24" s="32">
        <v>9</v>
      </c>
      <c r="C24" s="326" t="s">
        <v>644</v>
      </c>
      <c r="D24" s="23" t="s">
        <v>447</v>
      </c>
      <c r="E24" s="24" t="s">
        <v>448</v>
      </c>
      <c r="F24" s="92" t="s">
        <v>449</v>
      </c>
      <c r="G24" s="92"/>
      <c r="H24" s="47">
        <v>10940</v>
      </c>
    </row>
    <row r="25" spans="2:8" ht="23.25">
      <c r="B25" s="34"/>
      <c r="C25" s="19" t="s">
        <v>646</v>
      </c>
      <c r="D25" s="21"/>
      <c r="E25" s="22"/>
      <c r="F25" s="21"/>
      <c r="G25" s="22"/>
      <c r="H25" s="48"/>
    </row>
    <row r="26" spans="2:8" ht="23.25">
      <c r="B26" s="32">
        <v>10</v>
      </c>
      <c r="C26" s="326" t="s">
        <v>645</v>
      </c>
      <c r="D26" s="23" t="s">
        <v>375</v>
      </c>
      <c r="E26" s="24" t="s">
        <v>376</v>
      </c>
      <c r="F26" s="92" t="s">
        <v>467</v>
      </c>
      <c r="G26" s="92"/>
      <c r="H26" s="47">
        <v>13070</v>
      </c>
    </row>
    <row r="27" spans="2:8" ht="23.25">
      <c r="B27" s="458"/>
      <c r="C27" s="19" t="s">
        <v>647</v>
      </c>
      <c r="D27" s="21" t="s">
        <v>313</v>
      </c>
      <c r="E27" s="20"/>
      <c r="F27" s="507"/>
      <c r="G27" s="20"/>
      <c r="H27" s="48"/>
    </row>
    <row r="28" spans="2:8" ht="23.25">
      <c r="B28" s="32">
        <v>11</v>
      </c>
      <c r="C28" s="326" t="s">
        <v>620</v>
      </c>
      <c r="D28" s="23" t="s">
        <v>483</v>
      </c>
      <c r="E28" s="24" t="s">
        <v>452</v>
      </c>
      <c r="F28" s="665" t="s">
        <v>444</v>
      </c>
      <c r="G28" s="666"/>
      <c r="H28" s="47">
        <v>703400</v>
      </c>
    </row>
    <row r="29" spans="2:8" ht="23.25">
      <c r="B29" s="32"/>
      <c r="C29" s="326" t="s">
        <v>621</v>
      </c>
      <c r="D29" s="23"/>
      <c r="E29" s="24"/>
      <c r="F29" s="506" t="s">
        <v>648</v>
      </c>
      <c r="G29" s="92"/>
      <c r="H29" s="47"/>
    </row>
    <row r="30" spans="2:8" ht="23.25">
      <c r="B30" s="32"/>
      <c r="C30" s="326"/>
      <c r="D30" s="23"/>
      <c r="E30" s="24"/>
      <c r="F30" s="506" t="s">
        <v>649</v>
      </c>
      <c r="G30" s="92"/>
      <c r="H30" s="47"/>
    </row>
    <row r="31" spans="2:8" ht="23.25">
      <c r="B31" s="34"/>
      <c r="C31" s="465"/>
      <c r="D31" s="21"/>
      <c r="E31" s="22"/>
      <c r="F31" s="525" t="s">
        <v>619</v>
      </c>
      <c r="G31" s="20"/>
      <c r="H31" s="48"/>
    </row>
    <row r="32" spans="2:8" ht="24" thickBot="1">
      <c r="B32" s="663" t="s">
        <v>83</v>
      </c>
      <c r="C32" s="655"/>
      <c r="D32" s="655"/>
      <c r="E32" s="655"/>
      <c r="F32" s="655"/>
      <c r="G32" s="656"/>
      <c r="H32" s="49">
        <f>+H8+H10+H12+H14+H16+H18+H20+H22+H24+H26+H28</f>
        <v>878670</v>
      </c>
    </row>
    <row r="33" spans="2:8" ht="24" thickTop="1">
      <c r="B33" s="25"/>
      <c r="C33" s="115"/>
      <c r="D33" s="25"/>
      <c r="E33" s="25"/>
      <c r="F33" s="25"/>
      <c r="G33" s="25"/>
      <c r="H33" s="26"/>
    </row>
    <row r="34" spans="2:8" ht="23.25">
      <c r="B34" s="25"/>
      <c r="C34" s="115"/>
      <c r="D34" s="25"/>
      <c r="E34" s="25"/>
      <c r="F34" s="25"/>
      <c r="G34" s="25"/>
      <c r="H34" s="26"/>
    </row>
    <row r="35" spans="2:8" ht="23.25">
      <c r="B35" s="25"/>
      <c r="C35" s="115"/>
      <c r="D35" s="25"/>
      <c r="E35" s="25"/>
      <c r="F35" s="25"/>
      <c r="G35" s="25"/>
      <c r="H35" s="26"/>
    </row>
    <row r="36" spans="1:6" s="14" customFormat="1" ht="23.25">
      <c r="A36" s="36"/>
      <c r="B36" s="97"/>
      <c r="C36" s="303"/>
      <c r="D36" s="97"/>
      <c r="E36" s="97"/>
      <c r="F36" s="97"/>
    </row>
    <row r="37" spans="1:6" s="14" customFormat="1" ht="23.25">
      <c r="A37" s="36"/>
      <c r="B37" s="36"/>
      <c r="C37" s="303"/>
      <c r="D37" s="97"/>
      <c r="E37" s="97"/>
      <c r="F37" s="97"/>
    </row>
    <row r="38" spans="1:6" s="14" customFormat="1" ht="23.25">
      <c r="A38" s="36"/>
      <c r="B38" s="36"/>
      <c r="C38" s="303"/>
      <c r="D38" s="97"/>
      <c r="E38" s="97"/>
      <c r="F38" s="97"/>
    </row>
    <row r="39" spans="1:6" s="14" customFormat="1" ht="23.25">
      <c r="A39" s="36"/>
      <c r="B39" s="36"/>
      <c r="C39" s="303"/>
      <c r="D39" s="97"/>
      <c r="E39" s="97"/>
      <c r="F39" s="97"/>
    </row>
    <row r="40" spans="1:6" s="14" customFormat="1" ht="23.25">
      <c r="A40" s="36"/>
      <c r="B40" s="36"/>
      <c r="C40" s="303"/>
      <c r="D40" s="97"/>
      <c r="E40" s="97"/>
      <c r="F40" s="97"/>
    </row>
    <row r="41" spans="1:6" s="14" customFormat="1" ht="23.25">
      <c r="A41" s="36"/>
      <c r="B41" s="36"/>
      <c r="C41" s="303"/>
      <c r="D41" s="97"/>
      <c r="E41" s="97"/>
      <c r="F41" s="97"/>
    </row>
    <row r="42" spans="1:6" s="14" customFormat="1" ht="23.25">
      <c r="A42" s="36"/>
      <c r="B42" s="36"/>
      <c r="C42" s="303"/>
      <c r="D42" s="97"/>
      <c r="E42" s="97"/>
      <c r="F42" s="97"/>
    </row>
    <row r="43" spans="1:6" s="14" customFormat="1" ht="23.25">
      <c r="A43" s="36"/>
      <c r="B43" s="36"/>
      <c r="C43" s="303"/>
      <c r="D43" s="97"/>
      <c r="E43" s="97"/>
      <c r="F43" s="97"/>
    </row>
    <row r="44" spans="1:6" s="14" customFormat="1" ht="23.25">
      <c r="A44" s="36"/>
      <c r="B44" s="36"/>
      <c r="C44" s="303"/>
      <c r="D44" s="97"/>
      <c r="E44" s="97"/>
      <c r="F44" s="97"/>
    </row>
    <row r="45" spans="1:6" s="14" customFormat="1" ht="23.25">
      <c r="A45" s="36"/>
      <c r="B45" s="36"/>
      <c r="C45" s="303"/>
      <c r="D45" s="97"/>
      <c r="E45" s="97"/>
      <c r="F45" s="97"/>
    </row>
    <row r="46" spans="1:6" s="14" customFormat="1" ht="23.25">
      <c r="A46" s="36"/>
      <c r="B46" s="36"/>
      <c r="C46" s="303"/>
      <c r="D46" s="97"/>
      <c r="E46" s="97"/>
      <c r="F46" s="97"/>
    </row>
    <row r="47" spans="1:6" s="14" customFormat="1" ht="23.25">
      <c r="A47" s="36"/>
      <c r="B47" s="36"/>
      <c r="C47" s="303"/>
      <c r="D47" s="97"/>
      <c r="E47" s="97"/>
      <c r="F47" s="97"/>
    </row>
    <row r="48" spans="1:6" s="14" customFormat="1" ht="23.25">
      <c r="A48" s="36"/>
      <c r="B48" s="36"/>
      <c r="C48" s="303"/>
      <c r="D48" s="97"/>
      <c r="E48" s="97"/>
      <c r="F48" s="97"/>
    </row>
    <row r="49" spans="2:8" ht="31.5" customHeight="1">
      <c r="B49" s="14"/>
      <c r="C49" s="15"/>
      <c r="D49" s="14"/>
      <c r="E49" s="14"/>
      <c r="F49" s="14"/>
      <c r="G49" s="14"/>
      <c r="H49" s="16" t="s">
        <v>115</v>
      </c>
    </row>
    <row r="50" spans="2:8" ht="26.25">
      <c r="B50" s="578" t="s">
        <v>33</v>
      </c>
      <c r="C50" s="578"/>
      <c r="D50" s="578"/>
      <c r="E50" s="578"/>
      <c r="F50" s="578"/>
      <c r="G50" s="578"/>
      <c r="H50" s="578"/>
    </row>
    <row r="51" spans="2:10" ht="26.25">
      <c r="B51" s="578" t="s">
        <v>102</v>
      </c>
      <c r="C51" s="578"/>
      <c r="D51" s="578"/>
      <c r="E51" s="578"/>
      <c r="F51" s="578"/>
      <c r="G51" s="578"/>
      <c r="H51" s="578"/>
      <c r="I51" s="30"/>
      <c r="J51" s="30"/>
    </row>
    <row r="52" spans="2:10" ht="26.25">
      <c r="B52" s="657" t="str">
        <f>งบทดลอง1!A3</f>
        <v>ณ  วันที่  30  เมษายน  2555</v>
      </c>
      <c r="C52" s="657"/>
      <c r="D52" s="657"/>
      <c r="E52" s="657"/>
      <c r="F52" s="657"/>
      <c r="G52" s="657"/>
      <c r="H52" s="657"/>
      <c r="I52" s="30"/>
      <c r="J52" s="30"/>
    </row>
    <row r="53" spans="2:10" ht="26.25">
      <c r="B53" s="17"/>
      <c r="C53" s="18"/>
      <c r="D53" s="17"/>
      <c r="E53" s="17"/>
      <c r="F53" s="17"/>
      <c r="G53" s="17"/>
      <c r="H53" s="17"/>
      <c r="I53" s="30"/>
      <c r="J53" s="30"/>
    </row>
    <row r="54" spans="2:8" ht="23.25">
      <c r="B54" s="658" t="s">
        <v>84</v>
      </c>
      <c r="C54" s="95" t="s">
        <v>168</v>
      </c>
      <c r="D54" s="659" t="s">
        <v>125</v>
      </c>
      <c r="E54" s="660"/>
      <c r="F54" s="659" t="s">
        <v>35</v>
      </c>
      <c r="G54" s="660"/>
      <c r="H54" s="658" t="s">
        <v>51</v>
      </c>
    </row>
    <row r="55" spans="2:8" ht="23.25">
      <c r="B55" s="658"/>
      <c r="C55" s="19" t="s">
        <v>169</v>
      </c>
      <c r="D55" s="661"/>
      <c r="E55" s="662"/>
      <c r="F55" s="661"/>
      <c r="G55" s="662"/>
      <c r="H55" s="658"/>
    </row>
    <row r="56" spans="2:8" ht="23.25">
      <c r="B56" s="33">
        <v>1</v>
      </c>
      <c r="C56" s="302" t="s">
        <v>630</v>
      </c>
      <c r="D56" s="92" t="s">
        <v>622</v>
      </c>
      <c r="E56" s="560" t="s">
        <v>623</v>
      </c>
      <c r="F56" s="23" t="s">
        <v>636</v>
      </c>
      <c r="G56" s="556"/>
      <c r="H56" s="564">
        <v>4488</v>
      </c>
    </row>
    <row r="57" spans="2:8" ht="23.25">
      <c r="B57" s="561"/>
      <c r="C57" s="305" t="s">
        <v>634</v>
      </c>
      <c r="D57" s="20"/>
      <c r="E57" s="20"/>
      <c r="F57" s="21"/>
      <c r="G57" s="22"/>
      <c r="H57" s="562"/>
    </row>
    <row r="58" spans="2:8" ht="23.25">
      <c r="B58" s="33">
        <v>2</v>
      </c>
      <c r="C58" s="302" t="s">
        <v>631</v>
      </c>
      <c r="D58" s="92" t="s">
        <v>624</v>
      </c>
      <c r="E58" s="92" t="s">
        <v>625</v>
      </c>
      <c r="F58" s="23" t="s">
        <v>636</v>
      </c>
      <c r="G58" s="24"/>
      <c r="H58" s="563">
        <v>8640</v>
      </c>
    </row>
    <row r="59" spans="2:8" ht="23.25">
      <c r="B59" s="34"/>
      <c r="C59" s="305" t="s">
        <v>634</v>
      </c>
      <c r="D59" s="20"/>
      <c r="E59" s="20"/>
      <c r="F59" s="21"/>
      <c r="G59" s="22"/>
      <c r="H59" s="562"/>
    </row>
    <row r="60" spans="2:8" ht="23.25">
      <c r="B60" s="33">
        <v>3</v>
      </c>
      <c r="C60" s="302" t="s">
        <v>632</v>
      </c>
      <c r="D60" s="92" t="s">
        <v>626</v>
      </c>
      <c r="E60" s="92" t="s">
        <v>627</v>
      </c>
      <c r="F60" s="23" t="s">
        <v>637</v>
      </c>
      <c r="G60" s="24"/>
      <c r="H60" s="563">
        <v>8640</v>
      </c>
    </row>
    <row r="61" spans="2:8" ht="23.25">
      <c r="B61" s="34"/>
      <c r="C61" s="305" t="s">
        <v>634</v>
      </c>
      <c r="D61" s="21"/>
      <c r="E61" s="20"/>
      <c r="F61" s="21"/>
      <c r="G61" s="22"/>
      <c r="H61" s="562"/>
    </row>
    <row r="62" spans="2:8" ht="23.25">
      <c r="B62" s="33">
        <v>4</v>
      </c>
      <c r="C62" s="302" t="s">
        <v>633</v>
      </c>
      <c r="D62" s="92" t="s">
        <v>628</v>
      </c>
      <c r="E62" s="92" t="s">
        <v>629</v>
      </c>
      <c r="F62" s="23" t="s">
        <v>638</v>
      </c>
      <c r="G62" s="24"/>
      <c r="H62" s="47">
        <v>8240</v>
      </c>
    </row>
    <row r="63" spans="2:8" ht="23.25">
      <c r="B63" s="34"/>
      <c r="C63" s="305" t="s">
        <v>635</v>
      </c>
      <c r="D63" s="20"/>
      <c r="E63" s="22"/>
      <c r="F63" s="21"/>
      <c r="G63" s="22"/>
      <c r="H63" s="48"/>
    </row>
    <row r="64" spans="2:8" ht="24" thickBot="1">
      <c r="B64" s="654" t="s">
        <v>83</v>
      </c>
      <c r="C64" s="655"/>
      <c r="D64" s="655"/>
      <c r="E64" s="655"/>
      <c r="F64" s="655"/>
      <c r="G64" s="656"/>
      <c r="H64" s="49">
        <f>+H56+H58+H60+H62</f>
        <v>30008</v>
      </c>
    </row>
    <row r="65" spans="2:8" ht="24" thickTop="1">
      <c r="B65" s="25"/>
      <c r="C65" s="25"/>
      <c r="D65" s="25"/>
      <c r="E65" s="25"/>
      <c r="F65" s="25"/>
      <c r="G65" s="25"/>
      <c r="H65" s="306"/>
    </row>
    <row r="66" spans="2:8" ht="23.25">
      <c r="B66" s="25"/>
      <c r="C66" s="25"/>
      <c r="D66" s="25"/>
      <c r="E66" s="25"/>
      <c r="F66" s="25"/>
      <c r="G66" s="25"/>
      <c r="H66" s="306"/>
    </row>
    <row r="67" spans="2:8" ht="23.25">
      <c r="B67" s="25"/>
      <c r="C67" s="25"/>
      <c r="D67" s="25"/>
      <c r="E67" s="25"/>
      <c r="F67" s="25"/>
      <c r="G67" s="25"/>
      <c r="H67" s="306"/>
    </row>
    <row r="68" spans="2:8" ht="23.25">
      <c r="B68" s="27"/>
      <c r="C68" s="28"/>
      <c r="D68" s="27"/>
      <c r="E68" s="27"/>
      <c r="F68" s="27"/>
      <c r="G68" s="27"/>
      <c r="H68" s="29"/>
    </row>
    <row r="69" spans="1:6" s="14" customFormat="1" ht="23.25">
      <c r="A69" s="36"/>
      <c r="B69" s="36"/>
      <c r="C69" s="303"/>
      <c r="D69" s="97"/>
      <c r="E69" s="97"/>
      <c r="F69" s="97"/>
    </row>
    <row r="70" spans="1:6" s="14" customFormat="1" ht="23.25">
      <c r="A70" s="36"/>
      <c r="B70" s="36"/>
      <c r="C70" s="303"/>
      <c r="D70" s="97"/>
      <c r="E70" s="97"/>
      <c r="F70" s="97"/>
    </row>
    <row r="71" spans="2:8" ht="21.75">
      <c r="B71" s="30"/>
      <c r="C71" s="304"/>
      <c r="D71" s="30"/>
      <c r="E71" s="30"/>
      <c r="F71" s="30"/>
      <c r="G71" s="30"/>
      <c r="H71" s="30"/>
    </row>
    <row r="72" ht="41.25" customHeight="1"/>
    <row r="75" ht="21.75"/>
    <row r="76" ht="21.75"/>
    <row r="77" ht="21.75"/>
  </sheetData>
  <sheetProtection/>
  <mergeCells count="17">
    <mergeCell ref="B32:G32"/>
    <mergeCell ref="B2:H2"/>
    <mergeCell ref="B3:H3"/>
    <mergeCell ref="B4:H4"/>
    <mergeCell ref="B6:B7"/>
    <mergeCell ref="D6:E7"/>
    <mergeCell ref="H6:H7"/>
    <mergeCell ref="F6:G7"/>
    <mergeCell ref="F28:G28"/>
    <mergeCell ref="B50:H50"/>
    <mergeCell ref="B64:G64"/>
    <mergeCell ref="B51:H51"/>
    <mergeCell ref="B52:H52"/>
    <mergeCell ref="H54:H55"/>
    <mergeCell ref="B54:B55"/>
    <mergeCell ref="D54:E55"/>
    <mergeCell ref="F54:G55"/>
  </mergeCells>
  <printOptions/>
  <pageMargins left="0.27" right="0.1968503937007874" top="0.13" bottom="0.11811023622047245" header="0.35" footer="0.35"/>
  <pageSetup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5"/>
  <sheetViews>
    <sheetView view="pageBreakPreview" zoomScaleSheetLayoutView="100" zoomScalePageLayoutView="0" workbookViewId="0" topLeftCell="A46">
      <selection activeCell="D59" sqref="D59"/>
    </sheetView>
  </sheetViews>
  <sheetFormatPr defaultColWidth="9.140625" defaultRowHeight="21.75"/>
  <cols>
    <col min="1" max="1" width="9.140625" style="176" customWidth="1"/>
    <col min="2" max="2" width="60.57421875" style="176" customWidth="1"/>
    <col min="3" max="3" width="20.140625" style="176" customWidth="1"/>
    <col min="4" max="4" width="20.8515625" style="177" customWidth="1"/>
    <col min="5" max="5" width="18.8515625" style="176" customWidth="1"/>
    <col min="6" max="6" width="14.7109375" style="176" customWidth="1"/>
    <col min="7" max="7" width="4.7109375" style="176" customWidth="1"/>
    <col min="8" max="16384" width="9.140625" style="176" customWidth="1"/>
  </cols>
  <sheetData>
    <row r="1" ht="23.25">
      <c r="E1" s="178" t="s">
        <v>488</v>
      </c>
    </row>
    <row r="2" spans="1:7" ht="23.25">
      <c r="A2" s="668" t="s">
        <v>33</v>
      </c>
      <c r="B2" s="668"/>
      <c r="C2" s="668"/>
      <c r="D2" s="668"/>
      <c r="E2" s="668"/>
      <c r="F2" s="673"/>
      <c r="G2" s="673"/>
    </row>
    <row r="3" spans="1:7" ht="23.25">
      <c r="A3" s="668" t="s">
        <v>54</v>
      </c>
      <c r="B3" s="668"/>
      <c r="C3" s="668"/>
      <c r="D3" s="668"/>
      <c r="E3" s="668"/>
      <c r="F3" s="179"/>
      <c r="G3" s="179"/>
    </row>
    <row r="4" spans="1:5" ht="23.25">
      <c r="A4" s="667" t="str">
        <f>งบทดลอง1!A3</f>
        <v>ณ  วันที่  30  เมษายน  2555</v>
      </c>
      <c r="B4" s="667"/>
      <c r="C4" s="667"/>
      <c r="D4" s="667"/>
      <c r="E4" s="667"/>
    </row>
    <row r="5" spans="1:5" ht="8.25" customHeight="1">
      <c r="A5" s="180"/>
      <c r="B5" s="180"/>
      <c r="C5" s="180"/>
      <c r="D5" s="180"/>
      <c r="E5" s="180"/>
    </row>
    <row r="6" spans="1:5" ht="23.25">
      <c r="A6" s="669" t="s">
        <v>84</v>
      </c>
      <c r="B6" s="671" t="s">
        <v>101</v>
      </c>
      <c r="C6" s="181" t="s">
        <v>63</v>
      </c>
      <c r="D6" s="182" t="s">
        <v>85</v>
      </c>
      <c r="E6" s="183" t="s">
        <v>86</v>
      </c>
    </row>
    <row r="7" spans="1:5" ht="23.25">
      <c r="A7" s="670"/>
      <c r="B7" s="672"/>
      <c r="C7" s="184" t="s">
        <v>51</v>
      </c>
      <c r="D7" s="185" t="s">
        <v>51</v>
      </c>
      <c r="E7" s="186" t="s">
        <v>51</v>
      </c>
    </row>
    <row r="8" spans="1:5" ht="23.25">
      <c r="A8" s="187" t="s">
        <v>117</v>
      </c>
      <c r="B8" s="197" t="s">
        <v>485</v>
      </c>
      <c r="C8" s="188"/>
      <c r="D8" s="189"/>
      <c r="E8" s="188" t="s">
        <v>117</v>
      </c>
    </row>
    <row r="9" spans="1:5" ht="23.25">
      <c r="A9" s="187">
        <v>1</v>
      </c>
      <c r="B9" s="193" t="s">
        <v>486</v>
      </c>
      <c r="C9" s="211">
        <v>160000</v>
      </c>
      <c r="D9" s="191">
        <v>159500</v>
      </c>
      <c r="E9" s="188">
        <f>C9-D9</f>
        <v>500</v>
      </c>
    </row>
    <row r="10" spans="1:5" ht="23.25">
      <c r="A10" s="187">
        <v>2</v>
      </c>
      <c r="B10" s="208" t="s">
        <v>487</v>
      </c>
      <c r="C10" s="211">
        <v>160000</v>
      </c>
      <c r="D10" s="191">
        <v>160000</v>
      </c>
      <c r="E10" s="188">
        <f>C10-D10</f>
        <v>0</v>
      </c>
    </row>
    <row r="11" spans="1:5" ht="23.25">
      <c r="A11" s="192"/>
      <c r="B11" s="210"/>
      <c r="C11" s="211"/>
      <c r="D11" s="195"/>
      <c r="E11" s="188"/>
    </row>
    <row r="12" spans="1:5" ht="23.25">
      <c r="A12" s="196"/>
      <c r="B12" s="209"/>
      <c r="C12" s="211"/>
      <c r="D12" s="194"/>
      <c r="E12" s="188"/>
    </row>
    <row r="13" spans="1:5" ht="24" thickBot="1">
      <c r="A13" s="198"/>
      <c r="B13" s="199" t="s">
        <v>124</v>
      </c>
      <c r="C13" s="200">
        <f>+C9+C10</f>
        <v>320000</v>
      </c>
      <c r="D13" s="200">
        <f>+D9+D10</f>
        <v>319500</v>
      </c>
      <c r="E13" s="200">
        <f>E9</f>
        <v>500</v>
      </c>
    </row>
    <row r="14" spans="1:5" ht="24" thickTop="1">
      <c r="A14" s="190"/>
      <c r="B14" s="190"/>
      <c r="C14" s="190"/>
      <c r="D14" s="202"/>
      <c r="E14" s="190"/>
    </row>
    <row r="15" spans="1:5" ht="23.25">
      <c r="A15" s="190"/>
      <c r="B15" s="190"/>
      <c r="C15" s="190"/>
      <c r="D15" s="202"/>
      <c r="E15" s="190"/>
    </row>
    <row r="16" spans="1:5" ht="23.25">
      <c r="A16" s="190"/>
      <c r="B16" s="190"/>
      <c r="C16" s="190"/>
      <c r="D16" s="202"/>
      <c r="E16" s="190"/>
    </row>
    <row r="17" spans="1:5" ht="23.25">
      <c r="A17" s="190"/>
      <c r="B17" s="190"/>
      <c r="C17" s="190"/>
      <c r="D17" s="202"/>
      <c r="E17" s="190"/>
    </row>
    <row r="18" spans="1:5" ht="23.25">
      <c r="A18" s="190"/>
      <c r="B18" s="190"/>
      <c r="C18" s="190"/>
      <c r="D18" s="202"/>
      <c r="E18" s="190"/>
    </row>
    <row r="19" spans="1:5" ht="23.25">
      <c r="A19" s="190"/>
      <c r="B19" s="190"/>
      <c r="C19" s="190"/>
      <c r="D19" s="202"/>
      <c r="E19" s="190"/>
    </row>
    <row r="20" spans="1:5" ht="23.25">
      <c r="A20" s="190"/>
      <c r="B20" s="190"/>
      <c r="C20" s="190"/>
      <c r="D20" s="202"/>
      <c r="E20" s="190"/>
    </row>
    <row r="21" spans="1:5" ht="23.25">
      <c r="A21" s="190"/>
      <c r="B21" s="190"/>
      <c r="C21" s="213"/>
      <c r="D21" s="202"/>
      <c r="E21" s="190"/>
    </row>
    <row r="22" ht="20.25" customHeight="1"/>
    <row r="24" ht="23.25"/>
    <row r="25" ht="23.25"/>
    <row r="26" ht="23.25"/>
    <row r="27" ht="23.25"/>
    <row r="28" ht="23.25"/>
    <row r="44" ht="22.5" customHeight="1"/>
    <row r="49" ht="23.25">
      <c r="E49" s="178" t="s">
        <v>489</v>
      </c>
    </row>
    <row r="50" spans="1:5" ht="23.25">
      <c r="A50" s="668" t="s">
        <v>33</v>
      </c>
      <c r="B50" s="668"/>
      <c r="C50" s="668"/>
      <c r="D50" s="668"/>
      <c r="E50" s="668"/>
    </row>
    <row r="51" spans="1:5" ht="23.25">
      <c r="A51" s="668" t="s">
        <v>311</v>
      </c>
      <c r="B51" s="668"/>
      <c r="C51" s="668"/>
      <c r="D51" s="668"/>
      <c r="E51" s="668"/>
    </row>
    <row r="52" spans="1:5" ht="23.25">
      <c r="A52" s="667" t="str">
        <f>งบทดลอง1!A3</f>
        <v>ณ  วันที่  30  เมษายน  2555</v>
      </c>
      <c r="B52" s="667"/>
      <c r="C52" s="667"/>
      <c r="D52" s="667"/>
      <c r="E52" s="667"/>
    </row>
    <row r="53" spans="1:5" ht="23.25">
      <c r="A53" s="180"/>
      <c r="B53" s="180"/>
      <c r="C53" s="180"/>
      <c r="D53" s="180"/>
      <c r="E53" s="180"/>
    </row>
    <row r="54" spans="1:5" ht="23.25">
      <c r="A54" s="669" t="s">
        <v>84</v>
      </c>
      <c r="B54" s="671" t="s">
        <v>101</v>
      </c>
      <c r="C54" s="181" t="s">
        <v>63</v>
      </c>
      <c r="D54" s="182" t="s">
        <v>85</v>
      </c>
      <c r="E54" s="183" t="s">
        <v>86</v>
      </c>
    </row>
    <row r="55" spans="1:5" ht="23.25">
      <c r="A55" s="670"/>
      <c r="B55" s="672"/>
      <c r="C55" s="184" t="s">
        <v>51</v>
      </c>
      <c r="D55" s="185" t="s">
        <v>51</v>
      </c>
      <c r="E55" s="186" t="s">
        <v>51</v>
      </c>
    </row>
    <row r="56" spans="1:5" ht="23.25">
      <c r="A56" s="187" t="s">
        <v>117</v>
      </c>
      <c r="B56" s="197" t="s">
        <v>485</v>
      </c>
      <c r="C56" s="188"/>
      <c r="D56" s="189"/>
      <c r="E56" s="188" t="s">
        <v>117</v>
      </c>
    </row>
    <row r="57" spans="1:5" ht="23.25">
      <c r="A57" s="187">
        <v>1</v>
      </c>
      <c r="B57" s="193" t="s">
        <v>312</v>
      </c>
      <c r="C57" s="211">
        <v>1588900</v>
      </c>
      <c r="D57" s="191">
        <v>1337279.96</v>
      </c>
      <c r="E57" s="188">
        <f>C57-D57</f>
        <v>251620.04000000004</v>
      </c>
    </row>
    <row r="58" spans="1:5" ht="23.25">
      <c r="A58" s="187"/>
      <c r="B58" s="193"/>
      <c r="C58" s="211"/>
      <c r="D58" s="191"/>
      <c r="E58" s="188"/>
    </row>
    <row r="59" spans="1:5" ht="23.25">
      <c r="A59" s="187"/>
      <c r="B59" s="208"/>
      <c r="C59" s="211"/>
      <c r="D59" s="191"/>
      <c r="E59" s="188"/>
    </row>
    <row r="60" spans="1:5" ht="23.25">
      <c r="A60" s="187"/>
      <c r="B60" s="208"/>
      <c r="C60" s="211"/>
      <c r="D60" s="191"/>
      <c r="E60" s="188"/>
    </row>
    <row r="61" spans="1:5" ht="23.25">
      <c r="A61" s="187"/>
      <c r="B61" s="208"/>
      <c r="C61" s="211"/>
      <c r="D61" s="191"/>
      <c r="E61" s="188"/>
    </row>
    <row r="62" spans="1:5" ht="23.25">
      <c r="A62" s="187"/>
      <c r="B62" s="208"/>
      <c r="C62" s="211"/>
      <c r="D62" s="191"/>
      <c r="E62" s="188"/>
    </row>
    <row r="63" spans="1:5" ht="23.25">
      <c r="A63" s="187"/>
      <c r="B63" s="208"/>
      <c r="C63" s="211"/>
      <c r="D63" s="191"/>
      <c r="E63" s="188"/>
    </row>
    <row r="64" spans="1:5" ht="23.25">
      <c r="A64" s="187"/>
      <c r="B64" s="208"/>
      <c r="C64" s="211"/>
      <c r="D64" s="191"/>
      <c r="E64" s="188"/>
    </row>
    <row r="65" spans="1:5" ht="23.25">
      <c r="A65" s="187"/>
      <c r="B65" s="208"/>
      <c r="C65" s="211"/>
      <c r="D65" s="191"/>
      <c r="E65" s="188"/>
    </row>
    <row r="66" spans="1:5" ht="23.25">
      <c r="A66" s="187"/>
      <c r="B66" s="208"/>
      <c r="C66" s="211"/>
      <c r="D66" s="191"/>
      <c r="E66" s="188"/>
    </row>
    <row r="67" spans="1:5" ht="23.25">
      <c r="A67" s="187"/>
      <c r="B67" s="208"/>
      <c r="C67" s="211"/>
      <c r="D67" s="189"/>
      <c r="E67" s="188"/>
    </row>
    <row r="68" spans="1:5" ht="23.25">
      <c r="A68" s="187"/>
      <c r="B68" s="208"/>
      <c r="C68" s="211"/>
      <c r="D68" s="189"/>
      <c r="E68" s="188"/>
    </row>
    <row r="69" spans="1:5" ht="23.25">
      <c r="A69" s="192"/>
      <c r="B69" s="210"/>
      <c r="C69" s="211"/>
      <c r="D69" s="195"/>
      <c r="E69" s="212"/>
    </row>
    <row r="70" spans="1:5" ht="23.25">
      <c r="A70" s="196"/>
      <c r="B70" s="209"/>
      <c r="C70" s="211"/>
      <c r="D70" s="194"/>
      <c r="E70" s="214"/>
    </row>
    <row r="71" spans="1:5" ht="24" thickBot="1">
      <c r="A71" s="198"/>
      <c r="B71" s="199" t="s">
        <v>124</v>
      </c>
      <c r="C71" s="200">
        <f>C57+C58+C59+C60+C61+C62+C63+C64+C65+C66+C67+C68</f>
        <v>1588900</v>
      </c>
      <c r="D71" s="200">
        <f>D57+D60+D61+D62+D63+D64+D65+D66+D67+D68</f>
        <v>1337279.96</v>
      </c>
      <c r="E71" s="201">
        <f>C71-D71</f>
        <v>251620.04000000004</v>
      </c>
    </row>
    <row r="72" spans="1:5" ht="24" thickTop="1">
      <c r="A72" s="190"/>
      <c r="B72" s="190"/>
      <c r="C72" s="190"/>
      <c r="D72" s="202"/>
      <c r="E72" s="190"/>
    </row>
    <row r="73" spans="1:5" ht="23.25">
      <c r="A73" s="190"/>
      <c r="B73" s="190"/>
      <c r="C73" s="190"/>
      <c r="D73" s="202"/>
      <c r="E73" s="190"/>
    </row>
    <row r="74" spans="1:5" ht="23.25">
      <c r="A74" s="190"/>
      <c r="B74" s="190"/>
      <c r="C74" s="190"/>
      <c r="D74" s="202"/>
      <c r="E74" s="190"/>
    </row>
    <row r="75" spans="1:5" ht="23.25">
      <c r="A75" s="190"/>
      <c r="B75" s="190"/>
      <c r="C75" s="213"/>
      <c r="D75" s="202"/>
      <c r="E75" s="190"/>
    </row>
    <row r="77" ht="23.25"/>
    <row r="78" ht="23.25"/>
  </sheetData>
  <sheetProtection/>
  <mergeCells count="11">
    <mergeCell ref="F2:G2"/>
    <mergeCell ref="A6:A7"/>
    <mergeCell ref="B6:B7"/>
    <mergeCell ref="A2:E2"/>
    <mergeCell ref="A3:E3"/>
    <mergeCell ref="A4:E4"/>
    <mergeCell ref="A50:E50"/>
    <mergeCell ref="A51:E51"/>
    <mergeCell ref="A52:E52"/>
    <mergeCell ref="A54:A55"/>
    <mergeCell ref="B54:B55"/>
  </mergeCells>
  <printOptions/>
  <pageMargins left="0.46" right="0.1968503937007874" top="0.4" bottom="0.1968503937007874" header="0.78" footer="0.5118110236220472"/>
  <pageSetup horizontalDpi="180" verticalDpi="18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H49"/>
  <sheetViews>
    <sheetView zoomScalePageLayoutView="0" workbookViewId="0" topLeftCell="A12">
      <selection activeCell="G18" sqref="G18"/>
    </sheetView>
  </sheetViews>
  <sheetFormatPr defaultColWidth="9.140625" defaultRowHeight="21.75"/>
  <cols>
    <col min="1" max="1" width="9.421875" style="13" customWidth="1"/>
    <col min="2" max="2" width="11.57421875" style="13" customWidth="1"/>
    <col min="3" max="3" width="9.57421875" style="13" customWidth="1"/>
    <col min="4" max="4" width="12.28125" style="13" customWidth="1"/>
    <col min="5" max="5" width="46.57421875" style="13" customWidth="1"/>
    <col min="6" max="6" width="13.8515625" style="13" customWidth="1"/>
    <col min="7" max="7" width="14.28125" style="13" customWidth="1"/>
    <col min="8" max="8" width="9.28125" style="13" bestFit="1" customWidth="1"/>
    <col min="9" max="10" width="12.421875" style="13" bestFit="1" customWidth="1"/>
    <col min="11" max="16384" width="9.140625" style="13" customWidth="1"/>
  </cols>
  <sheetData>
    <row r="1" spans="1:8" ht="23.25">
      <c r="A1" s="14"/>
      <c r="B1" s="14"/>
      <c r="C1" s="14"/>
      <c r="D1" s="14"/>
      <c r="E1" s="14"/>
      <c r="F1" s="14"/>
      <c r="G1" s="653" t="s">
        <v>491</v>
      </c>
      <c r="H1" s="653"/>
    </row>
    <row r="2" spans="1:8" ht="23.25">
      <c r="A2" s="652" t="s">
        <v>33</v>
      </c>
      <c r="B2" s="652"/>
      <c r="C2" s="652"/>
      <c r="D2" s="652"/>
      <c r="E2" s="652"/>
      <c r="F2" s="652"/>
      <c r="G2" s="652"/>
      <c r="H2" s="652"/>
    </row>
    <row r="3" spans="1:8" ht="23.25">
      <c r="A3" s="652" t="s">
        <v>476</v>
      </c>
      <c r="B3" s="652"/>
      <c r="C3" s="652"/>
      <c r="D3" s="652"/>
      <c r="E3" s="652"/>
      <c r="F3" s="652"/>
      <c r="G3" s="652"/>
      <c r="H3" s="652"/>
    </row>
    <row r="4" spans="1:8" ht="23.25">
      <c r="A4" s="652" t="str">
        <f>งบทดลอง1!A3</f>
        <v>ณ  วันที่  30  เมษายน  2555</v>
      </c>
      <c r="B4" s="652"/>
      <c r="C4" s="652"/>
      <c r="D4" s="652"/>
      <c r="E4" s="652"/>
      <c r="F4" s="652"/>
      <c r="G4" s="652"/>
      <c r="H4" s="652"/>
    </row>
    <row r="5" spans="1:8" ht="23.25">
      <c r="A5" s="36"/>
      <c r="B5" s="36"/>
      <c r="C5" s="36"/>
      <c r="D5" s="36"/>
      <c r="E5" s="36"/>
      <c r="F5" s="36"/>
      <c r="G5" s="36"/>
      <c r="H5" s="36"/>
    </row>
    <row r="6" spans="1:8" ht="23.25">
      <c r="A6" s="14"/>
      <c r="B6" s="14" t="s">
        <v>63</v>
      </c>
      <c r="C6" s="14"/>
      <c r="D6" s="14"/>
      <c r="E6" s="14"/>
      <c r="F6" s="38"/>
      <c r="G6" s="38">
        <v>8571554.04</v>
      </c>
      <c r="H6" s="14"/>
    </row>
    <row r="7" spans="1:8" ht="23.25">
      <c r="A7" s="14"/>
      <c r="B7" s="14" t="s">
        <v>566</v>
      </c>
      <c r="C7" s="14"/>
      <c r="D7" s="14"/>
      <c r="E7" s="14"/>
      <c r="F7" s="38"/>
      <c r="G7" s="508">
        <v>2425</v>
      </c>
      <c r="H7" s="14"/>
    </row>
    <row r="8" spans="1:8" ht="23.25">
      <c r="A8" s="14"/>
      <c r="B8" s="14"/>
      <c r="C8" s="14"/>
      <c r="D8" s="14"/>
      <c r="E8" s="14"/>
      <c r="F8" s="38"/>
      <c r="G8" s="38">
        <f>SUM(G6:G7)</f>
        <v>8573979.04</v>
      </c>
      <c r="H8" s="14"/>
    </row>
    <row r="9" spans="1:8" ht="57" customHeight="1">
      <c r="A9" s="204" t="s">
        <v>113</v>
      </c>
      <c r="B9" s="14" t="s">
        <v>490</v>
      </c>
      <c r="C9" s="14"/>
      <c r="D9" s="14"/>
      <c r="E9" s="14"/>
      <c r="F9" s="38">
        <v>177190.34</v>
      </c>
      <c r="G9" s="205"/>
      <c r="H9" s="14"/>
    </row>
    <row r="10" spans="1:8" ht="24" customHeight="1">
      <c r="A10" s="204"/>
      <c r="B10" s="14" t="s">
        <v>453</v>
      </c>
      <c r="C10" s="14"/>
      <c r="D10" s="14"/>
      <c r="E10" s="14"/>
      <c r="F10" s="38">
        <v>250440</v>
      </c>
      <c r="G10" s="205"/>
      <c r="H10" s="14"/>
    </row>
    <row r="11" spans="1:8" ht="24" customHeight="1">
      <c r="A11" s="204"/>
      <c r="B11" s="14" t="s">
        <v>469</v>
      </c>
      <c r="C11" s="14"/>
      <c r="D11" s="14"/>
      <c r="E11" s="14"/>
      <c r="F11" s="38">
        <v>159000</v>
      </c>
      <c r="G11" s="205"/>
      <c r="H11" s="14"/>
    </row>
    <row r="12" spans="1:8" ht="24" customHeight="1">
      <c r="A12" s="204"/>
      <c r="B12" s="14" t="s">
        <v>470</v>
      </c>
      <c r="C12" s="14"/>
      <c r="D12" s="14"/>
      <c r="E12" s="14"/>
      <c r="F12" s="38">
        <v>159000</v>
      </c>
      <c r="G12" s="205"/>
      <c r="H12" s="14"/>
    </row>
    <row r="13" spans="1:8" ht="24" customHeight="1">
      <c r="A13" s="204"/>
      <c r="B13" s="14" t="s">
        <v>471</v>
      </c>
      <c r="C13" s="14"/>
      <c r="D13" s="14"/>
      <c r="E13" s="14"/>
      <c r="F13" s="38">
        <v>159000</v>
      </c>
      <c r="G13" s="55"/>
      <c r="H13" s="14"/>
    </row>
    <row r="14" spans="1:8" ht="24" customHeight="1">
      <c r="A14" s="204"/>
      <c r="B14" s="14" t="s">
        <v>470</v>
      </c>
      <c r="C14" s="14"/>
      <c r="D14" s="14"/>
      <c r="E14" s="14"/>
      <c r="F14" s="38">
        <v>159000</v>
      </c>
      <c r="G14" s="205"/>
      <c r="H14" s="14"/>
    </row>
    <row r="15" spans="1:8" ht="24" customHeight="1">
      <c r="A15" s="204"/>
      <c r="B15" s="14" t="s">
        <v>501</v>
      </c>
      <c r="C15" s="14"/>
      <c r="D15" s="14"/>
      <c r="E15" s="14"/>
      <c r="F15" s="38">
        <v>159000</v>
      </c>
      <c r="G15" s="205"/>
      <c r="H15" s="14"/>
    </row>
    <row r="16" spans="1:8" ht="24" customHeight="1">
      <c r="A16" s="204"/>
      <c r="B16" s="14" t="s">
        <v>617</v>
      </c>
      <c r="C16" s="14"/>
      <c r="D16" s="14"/>
      <c r="E16" s="14"/>
      <c r="F16" s="38">
        <v>159500</v>
      </c>
      <c r="G16" s="205"/>
      <c r="H16" s="14"/>
    </row>
    <row r="17" spans="1:8" ht="24" customHeight="1">
      <c r="A17" s="204"/>
      <c r="B17" s="14" t="s">
        <v>618</v>
      </c>
      <c r="C17" s="14"/>
      <c r="D17" s="14"/>
      <c r="E17" s="14"/>
      <c r="F17" s="424">
        <v>231500</v>
      </c>
      <c r="G17" s="511">
        <f>F9+F14+F10+F17+F15+F11+F12+F16+F13</f>
        <v>1613630.3399999999</v>
      </c>
      <c r="H17" s="14"/>
    </row>
    <row r="18" spans="1:8" ht="41.25" customHeight="1" thickBot="1">
      <c r="A18" s="14"/>
      <c r="B18" s="14"/>
      <c r="D18" s="36" t="s">
        <v>86</v>
      </c>
      <c r="E18" s="14"/>
      <c r="F18" s="205"/>
      <c r="G18" s="509">
        <f>G8-G17</f>
        <v>6960348.699999999</v>
      </c>
      <c r="H18" s="14"/>
    </row>
    <row r="19" spans="1:8" ht="24" thickTop="1">
      <c r="A19" s="14"/>
      <c r="B19" s="14"/>
      <c r="D19" s="36"/>
      <c r="E19" s="14"/>
      <c r="F19" s="205"/>
      <c r="G19" s="55"/>
      <c r="H19" s="14"/>
    </row>
    <row r="20" spans="1:8" ht="23.25">
      <c r="A20" s="14"/>
      <c r="B20" s="14"/>
      <c r="D20" s="36"/>
      <c r="E20" s="14"/>
      <c r="F20" s="205"/>
      <c r="G20" s="55"/>
      <c r="H20" s="14"/>
    </row>
    <row r="21" spans="1:8" ht="23.25">
      <c r="A21" s="14"/>
      <c r="B21" s="14"/>
      <c r="D21" s="36"/>
      <c r="E21" s="14"/>
      <c r="F21" s="205"/>
      <c r="G21" s="55"/>
      <c r="H21" s="14"/>
    </row>
    <row r="22" spans="1:8" ht="23.25">
      <c r="A22" s="14"/>
      <c r="B22" s="14"/>
      <c r="D22" s="36"/>
      <c r="E22" s="14"/>
      <c r="F22" s="205"/>
      <c r="G22" s="55"/>
      <c r="H22" s="14"/>
    </row>
    <row r="23" spans="1:8" ht="23.25">
      <c r="A23" s="653"/>
      <c r="B23" s="653"/>
      <c r="C23" s="653"/>
      <c r="D23" s="653"/>
      <c r="E23" s="653"/>
      <c r="F23" s="653"/>
      <c r="G23" s="653"/>
      <c r="H23" s="14"/>
    </row>
    <row r="24" spans="1:8" ht="23.25">
      <c r="A24" s="652"/>
      <c r="B24" s="652"/>
      <c r="C24" s="652"/>
      <c r="D24" s="652"/>
      <c r="E24" s="652"/>
      <c r="F24" s="652"/>
      <c r="G24" s="652"/>
      <c r="H24" s="14"/>
    </row>
    <row r="25" spans="1:8" ht="23.25">
      <c r="A25" s="652"/>
      <c r="B25" s="652"/>
      <c r="C25" s="652"/>
      <c r="D25" s="652"/>
      <c r="E25" s="652"/>
      <c r="F25" s="652"/>
      <c r="G25" s="652"/>
      <c r="H25" s="14"/>
    </row>
    <row r="26" spans="1:8" ht="31.5" customHeight="1">
      <c r="A26" s="14"/>
      <c r="B26" s="14"/>
      <c r="C26" s="14"/>
      <c r="D26" s="14"/>
      <c r="E26" s="14"/>
      <c r="F26" s="14"/>
      <c r="G26" s="14"/>
      <c r="H26" s="205"/>
    </row>
    <row r="27" spans="1:8" ht="23.25">
      <c r="A27" s="14"/>
      <c r="B27" s="14"/>
      <c r="C27" s="653"/>
      <c r="D27" s="653"/>
      <c r="E27" s="653"/>
      <c r="F27" s="653"/>
      <c r="G27" s="206"/>
      <c r="H27" s="14"/>
    </row>
    <row r="28" spans="1:8" ht="23.25">
      <c r="A28" s="14"/>
      <c r="B28" s="14"/>
      <c r="D28" s="652"/>
      <c r="E28" s="652"/>
      <c r="F28" s="36"/>
      <c r="G28" s="14"/>
      <c r="H28" s="14"/>
    </row>
    <row r="29" spans="1:8" ht="23.25">
      <c r="A29" s="14"/>
      <c r="B29" s="14"/>
      <c r="C29" s="14"/>
      <c r="D29" s="14"/>
      <c r="F29" s="14"/>
      <c r="G29" s="14"/>
      <c r="H29" s="14"/>
    </row>
    <row r="30" spans="1:8" ht="23.25">
      <c r="A30" s="14"/>
      <c r="B30" s="14"/>
      <c r="C30" s="14"/>
      <c r="D30" s="14"/>
      <c r="E30" s="14"/>
      <c r="F30" s="14"/>
      <c r="G30" s="14"/>
      <c r="H30" s="14"/>
    </row>
    <row r="31" ht="21.75"/>
    <row r="32" ht="21.75"/>
    <row r="33" spans="1:7" ht="23.25">
      <c r="A33" s="653"/>
      <c r="B33" s="653"/>
      <c r="C33" s="653"/>
      <c r="D33" s="653"/>
      <c r="E33" s="653"/>
      <c r="F33" s="653"/>
      <c r="G33" s="653"/>
    </row>
    <row r="34" spans="1:7" ht="23.25">
      <c r="A34" s="652"/>
      <c r="B34" s="652"/>
      <c r="C34" s="652"/>
      <c r="D34" s="652"/>
      <c r="E34" s="652"/>
      <c r="F34" s="652"/>
      <c r="G34" s="652"/>
    </row>
    <row r="35" spans="1:7" ht="23.25">
      <c r="A35" s="652"/>
      <c r="B35" s="652"/>
      <c r="C35" s="652"/>
      <c r="D35" s="652"/>
      <c r="E35" s="652"/>
      <c r="F35" s="652"/>
      <c r="G35" s="652"/>
    </row>
    <row r="36" spans="1:7" ht="23.25">
      <c r="A36" s="14"/>
      <c r="B36" s="14"/>
      <c r="C36" s="14"/>
      <c r="D36" s="14"/>
      <c r="E36" s="14"/>
      <c r="F36" s="14"/>
      <c r="G36" s="14"/>
    </row>
    <row r="37" spans="1:7" ht="23.25">
      <c r="A37" s="14"/>
      <c r="B37" s="14"/>
      <c r="C37" s="653"/>
      <c r="D37" s="653"/>
      <c r="E37" s="653"/>
      <c r="F37" s="653"/>
      <c r="G37" s="14"/>
    </row>
    <row r="38" spans="1:7" ht="23.25">
      <c r="A38" s="14"/>
      <c r="B38" s="14"/>
      <c r="C38" s="652"/>
      <c r="D38" s="652"/>
      <c r="E38" s="652"/>
      <c r="F38" s="652"/>
      <c r="G38" s="14"/>
    </row>
    <row r="39" spans="1:7" ht="23.25">
      <c r="A39" s="14"/>
      <c r="B39" s="14"/>
      <c r="C39" s="652"/>
      <c r="D39" s="652"/>
      <c r="E39" s="652"/>
      <c r="F39" s="652"/>
      <c r="G39" s="14"/>
    </row>
    <row r="40" ht="21.75">
      <c r="G40" s="207">
        <f>7930713.76+249-1133022.86</f>
        <v>6797939.899999999</v>
      </c>
    </row>
    <row r="43" spans="1:7" ht="23.25">
      <c r="A43" s="653"/>
      <c r="B43" s="653"/>
      <c r="C43" s="653"/>
      <c r="D43" s="653"/>
      <c r="E43" s="653"/>
      <c r="F43" s="653"/>
      <c r="G43" s="653"/>
    </row>
    <row r="44" spans="1:7" ht="23.25">
      <c r="A44" s="652"/>
      <c r="B44" s="652"/>
      <c r="C44" s="652"/>
      <c r="D44" s="652"/>
      <c r="E44" s="652"/>
      <c r="F44" s="652"/>
      <c r="G44" s="652"/>
    </row>
    <row r="45" spans="1:7" ht="23.25">
      <c r="A45" s="652"/>
      <c r="B45" s="652"/>
      <c r="C45" s="652"/>
      <c r="D45" s="652"/>
      <c r="E45" s="652"/>
      <c r="F45" s="652"/>
      <c r="G45" s="652"/>
    </row>
    <row r="46" spans="1:7" ht="23.25">
      <c r="A46" s="14"/>
      <c r="B46" s="14"/>
      <c r="C46" s="14"/>
      <c r="D46" s="14"/>
      <c r="E46" s="14"/>
      <c r="F46" s="14"/>
      <c r="G46" s="14"/>
    </row>
    <row r="47" spans="1:7" ht="23.25">
      <c r="A47" s="14"/>
      <c r="B47" s="14"/>
      <c r="C47" s="653"/>
      <c r="D47" s="653"/>
      <c r="E47" s="653"/>
      <c r="F47" s="653"/>
      <c r="G47" s="14"/>
    </row>
    <row r="48" spans="1:7" ht="23.25">
      <c r="A48" s="14"/>
      <c r="B48" s="14"/>
      <c r="C48" s="652"/>
      <c r="D48" s="652"/>
      <c r="E48" s="652"/>
      <c r="F48" s="652"/>
      <c r="G48" s="14"/>
    </row>
    <row r="49" spans="1:7" ht="23.25">
      <c r="A49" s="14"/>
      <c r="B49" s="14"/>
      <c r="C49" s="652"/>
      <c r="D49" s="652"/>
      <c r="E49" s="652"/>
      <c r="F49" s="652"/>
      <c r="G49" s="14"/>
    </row>
  </sheetData>
  <sheetProtection/>
  <mergeCells count="30">
    <mergeCell ref="C39:F39"/>
    <mergeCell ref="A35:D35"/>
    <mergeCell ref="E35:G35"/>
    <mergeCell ref="C37:F37"/>
    <mergeCell ref="C38:F38"/>
    <mergeCell ref="A33:D33"/>
    <mergeCell ref="G1:H1"/>
    <mergeCell ref="A2:H2"/>
    <mergeCell ref="A3:H3"/>
    <mergeCell ref="A4:H4"/>
    <mergeCell ref="E24:G24"/>
    <mergeCell ref="A25:D25"/>
    <mergeCell ref="E25:G25"/>
    <mergeCell ref="A43:D43"/>
    <mergeCell ref="E43:G43"/>
    <mergeCell ref="D28:E28"/>
    <mergeCell ref="A23:D23"/>
    <mergeCell ref="E23:G23"/>
    <mergeCell ref="A24:D24"/>
    <mergeCell ref="E33:G33"/>
    <mergeCell ref="A34:D34"/>
    <mergeCell ref="E34:G34"/>
    <mergeCell ref="C27:F27"/>
    <mergeCell ref="A44:D44"/>
    <mergeCell ref="E44:G44"/>
    <mergeCell ref="C49:F49"/>
    <mergeCell ref="A45:D45"/>
    <mergeCell ref="E45:G45"/>
    <mergeCell ref="C47:F47"/>
    <mergeCell ref="C48:F48"/>
  </mergeCells>
  <printOptions/>
  <pageMargins left="0.37" right="0.14" top="0.87" bottom="0.11811023622047245" header="0.17" footer="0.18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G24"/>
  <sheetViews>
    <sheetView zoomScalePageLayoutView="0" workbookViewId="0" topLeftCell="A13">
      <selection activeCell="B29" sqref="B29"/>
    </sheetView>
  </sheetViews>
  <sheetFormatPr defaultColWidth="9.140625" defaultRowHeight="21.75"/>
  <cols>
    <col min="1" max="1" width="4.28125" style="215" customWidth="1"/>
    <col min="2" max="2" width="62.00390625" style="215" customWidth="1"/>
    <col min="3" max="4" width="17.00390625" style="215" customWidth="1"/>
    <col min="5" max="6" width="9.140625" style="215" customWidth="1"/>
    <col min="7" max="7" width="16.421875" style="215" bestFit="1" customWidth="1"/>
    <col min="8" max="16384" width="9.140625" style="215" customWidth="1"/>
  </cols>
  <sheetData>
    <row r="1" spans="1:4" ht="24">
      <c r="A1" s="674" t="s">
        <v>33</v>
      </c>
      <c r="B1" s="674"/>
      <c r="C1" s="674"/>
      <c r="D1" s="674"/>
    </row>
    <row r="2" spans="1:4" ht="24">
      <c r="A2" s="674" t="s">
        <v>393</v>
      </c>
      <c r="B2" s="674"/>
      <c r="C2" s="674"/>
      <c r="D2" s="674"/>
    </row>
    <row r="3" ht="33.75" customHeight="1">
      <c r="A3" s="217" t="s">
        <v>173</v>
      </c>
    </row>
    <row r="4" spans="2:4" ht="24">
      <c r="B4" s="215" t="s">
        <v>394</v>
      </c>
      <c r="D4" s="218">
        <f>งบทดลอง1!G37</f>
        <v>0</v>
      </c>
    </row>
    <row r="5" spans="1:4" ht="24">
      <c r="A5" s="216" t="s">
        <v>113</v>
      </c>
      <c r="B5" s="215" t="s">
        <v>174</v>
      </c>
      <c r="D5" s="218">
        <v>70900.69</v>
      </c>
    </row>
    <row r="6" spans="2:4" ht="24.75" thickBot="1">
      <c r="B6" s="217" t="s">
        <v>175</v>
      </c>
      <c r="D6" s="219">
        <f>D4-D5</f>
        <v>-70900.69</v>
      </c>
    </row>
    <row r="7" ht="35.25" customHeight="1" thickTop="1"/>
    <row r="8" ht="24">
      <c r="A8" s="217" t="s">
        <v>176</v>
      </c>
    </row>
    <row r="9" spans="2:4" ht="24">
      <c r="B9" s="215" t="s">
        <v>395</v>
      </c>
      <c r="D9" s="218">
        <f>'รับ-จ่ายเงินสด (2)'!G67</f>
        <v>25478844.36</v>
      </c>
    </row>
    <row r="10" spans="1:4" ht="24">
      <c r="A10" s="216" t="s">
        <v>113</v>
      </c>
      <c r="B10" s="215" t="s">
        <v>177</v>
      </c>
      <c r="C10" s="218">
        <f>D9-(D6+C11+C12)</f>
        <v>23250132.71</v>
      </c>
      <c r="D10" s="218"/>
    </row>
    <row r="11" spans="2:4" ht="24">
      <c r="B11" s="215" t="s">
        <v>178</v>
      </c>
      <c r="C11" s="218">
        <f>รายละเอียดเงินรับฝาก!G29</f>
        <v>2299612.34</v>
      </c>
      <c r="D11" s="218"/>
    </row>
    <row r="12" spans="2:7" ht="24">
      <c r="B12" s="215" t="s">
        <v>104</v>
      </c>
      <c r="C12" s="220">
        <f>งบทดลอง1!G38</f>
        <v>0</v>
      </c>
      <c r="D12" s="218">
        <f>C10+C11+C12</f>
        <v>25549745.05</v>
      </c>
      <c r="G12" s="294">
        <f>D9-C11-C12-D6</f>
        <v>23250132.71</v>
      </c>
    </row>
    <row r="13" spans="2:7" ht="24.75" thickBot="1">
      <c r="B13" s="217" t="s">
        <v>175</v>
      </c>
      <c r="D13" s="219">
        <f>D9-D12</f>
        <v>-70900.69000000134</v>
      </c>
      <c r="G13" s="218"/>
    </row>
    <row r="14" ht="24.75" thickTop="1">
      <c r="G14" s="218"/>
    </row>
    <row r="15" ht="24">
      <c r="B15" s="217" t="s">
        <v>179</v>
      </c>
    </row>
    <row r="16" spans="1:4" ht="24">
      <c r="A16" s="215" t="s">
        <v>180</v>
      </c>
      <c r="D16" s="223">
        <f>D6</f>
        <v>-70900.69</v>
      </c>
    </row>
    <row r="17" ht="24">
      <c r="A17" s="216" t="s">
        <v>113</v>
      </c>
    </row>
    <row r="18" spans="1:3" ht="24">
      <c r="A18" s="221" t="s">
        <v>52</v>
      </c>
      <c r="B18" s="215" t="s">
        <v>342</v>
      </c>
      <c r="C18" s="222">
        <v>341000</v>
      </c>
    </row>
    <row r="19" spans="1:3" ht="24">
      <c r="A19" s="221" t="s">
        <v>52</v>
      </c>
      <c r="B19" s="215" t="s">
        <v>343</v>
      </c>
      <c r="C19" s="222">
        <v>300000</v>
      </c>
    </row>
    <row r="20" spans="1:3" ht="24">
      <c r="A20" s="221" t="s">
        <v>52</v>
      </c>
      <c r="B20" s="215" t="s">
        <v>368</v>
      </c>
      <c r="C20" s="222">
        <v>1067000</v>
      </c>
    </row>
    <row r="21" spans="1:4" ht="24">
      <c r="A21" s="221" t="s">
        <v>52</v>
      </c>
      <c r="B21" s="215" t="s">
        <v>290</v>
      </c>
      <c r="C21" s="222"/>
      <c r="D21" s="220"/>
    </row>
    <row r="22" spans="1:4" ht="24">
      <c r="A22" s="221"/>
      <c r="B22" s="215" t="s">
        <v>273</v>
      </c>
      <c r="C22" s="222">
        <f>D16-C18-C19-C20</f>
        <v>-1778900.69</v>
      </c>
      <c r="D22" s="425">
        <f>SUM(C18:C22)</f>
        <v>-70900.68999999994</v>
      </c>
    </row>
    <row r="23" spans="1:4" ht="24.75" thickBot="1">
      <c r="A23" s="215" t="s">
        <v>181</v>
      </c>
      <c r="D23" s="426">
        <f>D16-D22</f>
        <v>0</v>
      </c>
    </row>
    <row r="24" ht="24.75" thickTop="1">
      <c r="A24" s="216"/>
    </row>
  </sheetData>
  <sheetProtection/>
  <mergeCells count="2">
    <mergeCell ref="A1:D1"/>
    <mergeCell ref="A2:D2"/>
  </mergeCells>
  <printOptions/>
  <pageMargins left="0.75" right="0.38" top="0.6" bottom="0.2" header="0.14" footer="0.09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1:J63"/>
  <sheetViews>
    <sheetView zoomScaleSheetLayoutView="100" zoomScalePageLayoutView="0" workbookViewId="0" topLeftCell="A1">
      <selection activeCell="K25" sqref="K25"/>
    </sheetView>
  </sheetViews>
  <sheetFormatPr defaultColWidth="9.140625" defaultRowHeight="21.75"/>
  <cols>
    <col min="1" max="1" width="1.8515625" style="36" customWidth="1"/>
    <col min="2" max="2" width="2.57421875" style="36" customWidth="1"/>
    <col min="3" max="3" width="45.421875" style="14" customWidth="1"/>
    <col min="4" max="4" width="18.7109375" style="14" customWidth="1"/>
    <col min="5" max="5" width="17.28125" style="14" customWidth="1"/>
    <col min="6" max="6" width="17.140625" style="14" customWidth="1"/>
    <col min="7" max="7" width="18.28125" style="14" customWidth="1"/>
    <col min="8" max="8" width="10.28125" style="14" bestFit="1" customWidth="1"/>
    <col min="9" max="9" width="9.140625" style="14" customWidth="1"/>
    <col min="10" max="10" width="9.28125" style="14" bestFit="1" customWidth="1"/>
    <col min="11" max="16384" width="9.140625" style="14" customWidth="1"/>
  </cols>
  <sheetData>
    <row r="1" spans="1:10" ht="23.25">
      <c r="A1" s="677" t="s">
        <v>134</v>
      </c>
      <c r="B1" s="677"/>
      <c r="C1" s="677"/>
      <c r="D1" s="677"/>
      <c r="E1" s="677"/>
      <c r="F1" s="677"/>
      <c r="G1" s="677"/>
      <c r="H1" s="37"/>
      <c r="I1" s="37"/>
      <c r="J1" s="37"/>
    </row>
    <row r="2" spans="1:10" ht="23.25">
      <c r="A2" s="652" t="s">
        <v>49</v>
      </c>
      <c r="B2" s="652"/>
      <c r="C2" s="652"/>
      <c r="D2" s="652"/>
      <c r="E2" s="652"/>
      <c r="F2" s="652"/>
      <c r="G2" s="652"/>
      <c r="H2" s="37"/>
      <c r="I2" s="37"/>
      <c r="J2" s="37"/>
    </row>
    <row r="3" spans="1:10" ht="23.25">
      <c r="A3" s="652" t="str">
        <f>งบทดลอง1!$A$3</f>
        <v>ณ  วันที่  30  เมษายน  2555</v>
      </c>
      <c r="B3" s="652"/>
      <c r="C3" s="652"/>
      <c r="D3" s="652"/>
      <c r="E3" s="652"/>
      <c r="F3" s="652"/>
      <c r="G3" s="652"/>
      <c r="H3" s="37"/>
      <c r="I3" s="37"/>
      <c r="J3" s="37"/>
    </row>
    <row r="4" spans="3:10" ht="23.25">
      <c r="C4" s="36"/>
      <c r="D4" s="36"/>
      <c r="E4" s="36"/>
      <c r="F4" s="36"/>
      <c r="G4" s="36"/>
      <c r="H4" s="36"/>
      <c r="I4" s="36"/>
      <c r="J4" s="36"/>
    </row>
    <row r="5" spans="1:7" ht="23.25">
      <c r="A5" s="126"/>
      <c r="B5" s="675" t="s">
        <v>35</v>
      </c>
      <c r="C5" s="676"/>
      <c r="D5" s="39" t="s">
        <v>105</v>
      </c>
      <c r="E5" s="39" t="s">
        <v>87</v>
      </c>
      <c r="F5" s="39" t="s">
        <v>88</v>
      </c>
      <c r="G5" s="39" t="s">
        <v>86</v>
      </c>
    </row>
    <row r="6" spans="1:7" ht="23.25">
      <c r="A6" s="126"/>
      <c r="B6" s="52"/>
      <c r="C6" s="127" t="s">
        <v>339</v>
      </c>
      <c r="D6" s="41">
        <v>11557.15</v>
      </c>
      <c r="E6" s="41">
        <v>8325.81</v>
      </c>
      <c r="F6" s="41">
        <v>7886.36</v>
      </c>
      <c r="G6" s="41">
        <f>D6+E6-F6</f>
        <v>11996.599999999999</v>
      </c>
    </row>
    <row r="7" spans="1:7" ht="23.25">
      <c r="A7" s="126"/>
      <c r="B7" s="52"/>
      <c r="C7" s="127" t="s">
        <v>106</v>
      </c>
      <c r="D7" s="41">
        <v>14929.05</v>
      </c>
      <c r="E7" s="41">
        <v>1078.45</v>
      </c>
      <c r="F7" s="41"/>
      <c r="G7" s="41">
        <f>D7+E7-F7</f>
        <v>16007.5</v>
      </c>
    </row>
    <row r="8" spans="1:7" ht="23.25">
      <c r="A8" s="126"/>
      <c r="B8" s="52"/>
      <c r="C8" s="127" t="s">
        <v>109</v>
      </c>
      <c r="D8" s="41">
        <v>17914.86</v>
      </c>
      <c r="E8" s="41">
        <v>1294.14</v>
      </c>
      <c r="F8" s="40"/>
      <c r="G8" s="41">
        <f aca="true" t="shared" si="0" ref="G8:G24">D8+E8+-F8</f>
        <v>19209</v>
      </c>
    </row>
    <row r="9" spans="1:7" ht="23.25">
      <c r="A9" s="126"/>
      <c r="B9" s="52"/>
      <c r="C9" s="127" t="s">
        <v>107</v>
      </c>
      <c r="D9" s="41">
        <v>1213211.24</v>
      </c>
      <c r="E9" s="41">
        <v>7081</v>
      </c>
      <c r="F9" s="40"/>
      <c r="G9" s="41">
        <f t="shared" si="0"/>
        <v>1220292.24</v>
      </c>
    </row>
    <row r="10" spans="1:7" ht="23.25">
      <c r="A10" s="126"/>
      <c r="B10" s="52"/>
      <c r="C10" s="127" t="s">
        <v>108</v>
      </c>
      <c r="D10" s="41">
        <v>200455</v>
      </c>
      <c r="E10" s="40"/>
      <c r="F10" s="41"/>
      <c r="G10" s="41">
        <f t="shared" si="0"/>
        <v>200455</v>
      </c>
    </row>
    <row r="11" spans="1:7" ht="23.25">
      <c r="A11" s="126"/>
      <c r="B11" s="52"/>
      <c r="C11" s="127" t="s">
        <v>116</v>
      </c>
      <c r="D11" s="41">
        <v>2636</v>
      </c>
      <c r="E11" s="128"/>
      <c r="F11" s="128"/>
      <c r="G11" s="41">
        <f t="shared" si="0"/>
        <v>2636</v>
      </c>
    </row>
    <row r="12" spans="1:7" ht="23.25">
      <c r="A12" s="126"/>
      <c r="B12" s="52"/>
      <c r="C12" s="127" t="s">
        <v>497</v>
      </c>
      <c r="D12" s="41">
        <v>6363</v>
      </c>
      <c r="E12" s="128"/>
      <c r="F12" s="128">
        <v>6258</v>
      </c>
      <c r="G12" s="41">
        <f t="shared" si="0"/>
        <v>105</v>
      </c>
    </row>
    <row r="13" spans="1:7" ht="23.25">
      <c r="A13" s="126"/>
      <c r="B13" s="52"/>
      <c r="C13" s="127" t="s">
        <v>172</v>
      </c>
      <c r="D13" s="41">
        <v>2790</v>
      </c>
      <c r="E13" s="128"/>
      <c r="F13" s="128"/>
      <c r="G13" s="41">
        <f t="shared" si="0"/>
        <v>2790</v>
      </c>
    </row>
    <row r="14" spans="1:7" ht="23.25">
      <c r="A14" s="126"/>
      <c r="B14" s="52"/>
      <c r="C14" s="127" t="s">
        <v>286</v>
      </c>
      <c r="D14" s="41">
        <v>0</v>
      </c>
      <c r="E14" s="43"/>
      <c r="F14" s="128"/>
      <c r="G14" s="41">
        <f t="shared" si="0"/>
        <v>0</v>
      </c>
    </row>
    <row r="15" spans="1:7" ht="23.25">
      <c r="A15" s="126"/>
      <c r="B15" s="512"/>
      <c r="C15" s="513" t="s">
        <v>458</v>
      </c>
      <c r="D15" s="43">
        <v>69500</v>
      </c>
      <c r="E15" s="43"/>
      <c r="F15" s="128"/>
      <c r="G15" s="43">
        <f t="shared" si="0"/>
        <v>69500</v>
      </c>
    </row>
    <row r="16" spans="1:7" ht="23.25">
      <c r="A16" s="126"/>
      <c r="B16" s="505"/>
      <c r="C16" s="301" t="s">
        <v>459</v>
      </c>
      <c r="D16" s="514"/>
      <c r="E16" s="514"/>
      <c r="F16" s="515"/>
      <c r="G16" s="514">
        <f t="shared" si="0"/>
        <v>0</v>
      </c>
    </row>
    <row r="17" spans="1:7" ht="23.25">
      <c r="A17" s="126"/>
      <c r="B17" s="512"/>
      <c r="C17" s="513" t="s">
        <v>458</v>
      </c>
      <c r="D17" s="43">
        <v>3000</v>
      </c>
      <c r="E17" s="43"/>
      <c r="F17" s="128"/>
      <c r="G17" s="43">
        <f t="shared" si="0"/>
        <v>3000</v>
      </c>
    </row>
    <row r="18" spans="1:7" ht="23.25">
      <c r="A18" s="126"/>
      <c r="B18" s="505"/>
      <c r="C18" s="301" t="s">
        <v>460</v>
      </c>
      <c r="D18" s="514"/>
      <c r="E18" s="514"/>
      <c r="F18" s="515"/>
      <c r="G18" s="514">
        <f t="shared" si="0"/>
        <v>0</v>
      </c>
    </row>
    <row r="19" spans="1:7" ht="23.25">
      <c r="A19" s="126"/>
      <c r="B19" s="512"/>
      <c r="C19" s="513" t="s">
        <v>458</v>
      </c>
      <c r="D19" s="43">
        <v>46500</v>
      </c>
      <c r="E19" s="43"/>
      <c r="F19" s="128"/>
      <c r="G19" s="43">
        <f t="shared" si="0"/>
        <v>46500</v>
      </c>
    </row>
    <row r="20" spans="1:7" ht="23.25">
      <c r="A20" s="126"/>
      <c r="B20" s="505"/>
      <c r="C20" s="301" t="s">
        <v>461</v>
      </c>
      <c r="D20" s="514"/>
      <c r="E20" s="514"/>
      <c r="F20" s="515"/>
      <c r="G20" s="514">
        <f t="shared" si="0"/>
        <v>0</v>
      </c>
    </row>
    <row r="21" spans="1:7" ht="23.25">
      <c r="A21" s="126"/>
      <c r="B21" s="505"/>
      <c r="C21" s="127" t="s">
        <v>564</v>
      </c>
      <c r="D21" s="514">
        <v>0</v>
      </c>
      <c r="E21" s="41"/>
      <c r="F21" s="40"/>
      <c r="G21" s="514">
        <f t="shared" si="0"/>
        <v>0</v>
      </c>
    </row>
    <row r="22" spans="1:7" ht="23.25">
      <c r="A22" s="126"/>
      <c r="B22" s="505"/>
      <c r="C22" s="127" t="s">
        <v>565</v>
      </c>
      <c r="D22" s="514"/>
      <c r="E22" s="516">
        <v>18416.56</v>
      </c>
      <c r="F22" s="517">
        <v>18416.56</v>
      </c>
      <c r="G22" s="514">
        <f t="shared" si="0"/>
        <v>0</v>
      </c>
    </row>
    <row r="23" spans="1:7" ht="23.25">
      <c r="A23" s="126"/>
      <c r="B23" s="52"/>
      <c r="C23" s="127" t="s">
        <v>562</v>
      </c>
      <c r="D23" s="41">
        <v>286343</v>
      </c>
      <c r="E23" s="43"/>
      <c r="F23" s="128"/>
      <c r="G23" s="41">
        <f t="shared" si="0"/>
        <v>286343</v>
      </c>
    </row>
    <row r="24" spans="1:7" ht="23.25">
      <c r="A24" s="126"/>
      <c r="B24" s="52"/>
      <c r="C24" s="127" t="s">
        <v>563</v>
      </c>
      <c r="D24" s="41">
        <v>337052</v>
      </c>
      <c r="E24" s="43"/>
      <c r="F24" s="128"/>
      <c r="G24" s="41">
        <f t="shared" si="0"/>
        <v>337052</v>
      </c>
    </row>
    <row r="25" spans="1:8" ht="23.25">
      <c r="A25" s="126"/>
      <c r="B25" s="52"/>
      <c r="C25" s="127" t="s">
        <v>498</v>
      </c>
      <c r="D25" s="41">
        <v>23956.11</v>
      </c>
      <c r="E25" s="43"/>
      <c r="F25" s="128">
        <v>18440</v>
      </c>
      <c r="G25" s="41">
        <f>D25+E25+-F25</f>
        <v>5516.110000000001</v>
      </c>
      <c r="H25" s="38"/>
    </row>
    <row r="26" spans="1:7" ht="23.25">
      <c r="A26" s="126"/>
      <c r="B26" s="52"/>
      <c r="C26" s="127" t="s">
        <v>462</v>
      </c>
      <c r="D26" s="41">
        <v>13572.5</v>
      </c>
      <c r="E26" s="43"/>
      <c r="F26" s="128">
        <v>8700</v>
      </c>
      <c r="G26" s="41">
        <f>D26+E26+-F26</f>
        <v>4872.5</v>
      </c>
    </row>
    <row r="27" spans="1:7" ht="23.25">
      <c r="A27" s="126"/>
      <c r="B27" s="512"/>
      <c r="C27" s="513" t="s">
        <v>378</v>
      </c>
      <c r="D27" s="43">
        <v>447.39</v>
      </c>
      <c r="E27" s="43">
        <v>197970</v>
      </c>
      <c r="F27" s="128">
        <f>42520+41280+41280</f>
        <v>125080</v>
      </c>
      <c r="G27" s="43">
        <f>D27+E27+-F27</f>
        <v>73337.39000000001</v>
      </c>
    </row>
    <row r="28" spans="1:7" ht="23.25">
      <c r="A28" s="126"/>
      <c r="B28" s="505"/>
      <c r="C28" s="301" t="s">
        <v>463</v>
      </c>
      <c r="D28" s="514"/>
      <c r="E28" s="516"/>
      <c r="F28" s="517"/>
      <c r="G28" s="514"/>
    </row>
    <row r="29" spans="1:7" ht="24" thickBot="1">
      <c r="A29" s="126"/>
      <c r="B29" s="52"/>
      <c r="C29" s="51" t="s">
        <v>83</v>
      </c>
      <c r="D29" s="96">
        <f>SUM(D6:D28)</f>
        <v>2250227.3</v>
      </c>
      <c r="E29" s="96">
        <f>SUM(E6:E28)</f>
        <v>234165.96000000002</v>
      </c>
      <c r="F29" s="96">
        <f>SUM(F6:F28)</f>
        <v>184780.91999999998</v>
      </c>
      <c r="G29" s="96">
        <f>SUM(G6:G28)</f>
        <v>2299612.34</v>
      </c>
    </row>
    <row r="30" spans="1:7" ht="24" thickTop="1">
      <c r="A30" s="25"/>
      <c r="B30" s="25"/>
      <c r="C30" s="25"/>
      <c r="D30" s="129"/>
      <c r="E30" s="129"/>
      <c r="F30" s="129"/>
      <c r="G30" s="129"/>
    </row>
    <row r="31" spans="1:10" ht="23.25">
      <c r="A31" s="25"/>
      <c r="B31" s="25"/>
      <c r="C31" s="25"/>
      <c r="D31" s="129"/>
      <c r="E31" s="129"/>
      <c r="F31" s="129"/>
      <c r="G31" s="129"/>
      <c r="H31" s="205"/>
      <c r="J31" s="205"/>
    </row>
    <row r="32" spans="1:7" ht="23.25">
      <c r="A32" s="25"/>
      <c r="B32" s="25"/>
      <c r="C32" s="25"/>
      <c r="D32" s="129"/>
      <c r="E32" s="129"/>
      <c r="F32" s="129"/>
      <c r="G32" s="129"/>
    </row>
    <row r="33" ht="23.25"/>
    <row r="34" ht="23.25"/>
    <row r="35" ht="23.25"/>
    <row r="36" ht="23.25"/>
    <row r="37" ht="23.25"/>
    <row r="38" ht="23.25"/>
    <row r="39" ht="23.25"/>
    <row r="40" ht="23.25"/>
    <row r="41" ht="23.25"/>
    <row r="42" ht="23.25"/>
    <row r="43" ht="23.25"/>
    <row r="56" spans="3:6" ht="23.25">
      <c r="C56" s="97" t="s">
        <v>118</v>
      </c>
      <c r="D56" s="97"/>
      <c r="E56" s="97"/>
      <c r="F56" s="97"/>
    </row>
    <row r="57" spans="3:6" ht="23.25">
      <c r="C57" s="97" t="s">
        <v>119</v>
      </c>
      <c r="D57" s="97"/>
      <c r="E57" s="97"/>
      <c r="F57" s="97"/>
    </row>
    <row r="58" spans="3:6" ht="23.25">
      <c r="C58" s="97" t="s">
        <v>120</v>
      </c>
      <c r="D58" s="97"/>
      <c r="E58" s="97"/>
      <c r="F58" s="97"/>
    </row>
    <row r="61" spans="3:6" ht="23.25">
      <c r="C61" s="97" t="s">
        <v>128</v>
      </c>
      <c r="D61" s="97"/>
      <c r="E61" s="97"/>
      <c r="F61" s="97"/>
    </row>
    <row r="62" spans="3:6" ht="23.25">
      <c r="C62" s="97" t="s">
        <v>129</v>
      </c>
      <c r="D62" s="97"/>
      <c r="E62" s="97"/>
      <c r="F62" s="97"/>
    </row>
    <row r="63" spans="3:6" ht="23.25">
      <c r="C63" s="97" t="s">
        <v>130</v>
      </c>
      <c r="D63" s="97"/>
      <c r="E63" s="97"/>
      <c r="F63" s="97"/>
    </row>
  </sheetData>
  <sheetProtection/>
  <mergeCells count="4">
    <mergeCell ref="B5:C5"/>
    <mergeCell ref="A3:G3"/>
    <mergeCell ref="A2:G2"/>
    <mergeCell ref="A1:G1"/>
  </mergeCells>
  <printOptions/>
  <pageMargins left="0.31" right="0.1968503937007874" top="0.5905511811023623" bottom="0.2755905511811024" header="0.5118110236220472" footer="0.5118110236220472"/>
  <pageSetup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2"/>
  </sheetPr>
  <dimension ref="A1:AC116"/>
  <sheetViews>
    <sheetView tabSelected="1" zoomScalePageLayoutView="0" workbookViewId="0" topLeftCell="A1">
      <selection activeCell="K8" sqref="K8"/>
    </sheetView>
  </sheetViews>
  <sheetFormatPr defaultColWidth="9.140625" defaultRowHeight="21.75"/>
  <cols>
    <col min="1" max="1" width="35.8515625" style="13" customWidth="1"/>
    <col min="2" max="2" width="12.140625" style="13" customWidth="1"/>
    <col min="3" max="3" width="11.57421875" style="549" customWidth="1"/>
    <col min="4" max="4" width="5.140625" style="13" customWidth="1"/>
    <col min="5" max="6" width="10.57421875" style="13" customWidth="1"/>
    <col min="7" max="7" width="5.140625" style="13" customWidth="1"/>
    <col min="8" max="9" width="10.57421875" style="13" customWidth="1"/>
    <col min="10" max="10" width="5.140625" style="13" customWidth="1"/>
    <col min="11" max="11" width="10.57421875" style="13" customWidth="1"/>
    <col min="12" max="12" width="5.140625" style="13" customWidth="1"/>
    <col min="13" max="15" width="10.57421875" style="13" customWidth="1"/>
    <col min="16" max="16" width="5.140625" style="13" customWidth="1"/>
    <col min="17" max="17" width="10.57421875" style="13" customWidth="1"/>
    <col min="18" max="18" width="5.140625" style="13" customWidth="1"/>
    <col min="19" max="20" width="10.57421875" style="13" customWidth="1"/>
    <col min="21" max="21" width="5.28125" style="13" customWidth="1"/>
    <col min="22" max="23" width="10.57421875" style="13" customWidth="1"/>
    <col min="24" max="24" width="5.140625" style="13" customWidth="1"/>
    <col min="25" max="25" width="12.00390625" style="13" customWidth="1"/>
    <col min="26" max="26" width="16.00390625" style="347" customWidth="1"/>
    <col min="27" max="27" width="12.421875" style="13" bestFit="1" customWidth="1"/>
    <col min="28" max="28" width="15.28125" style="13" customWidth="1"/>
    <col min="29" max="29" width="18.421875" style="13" customWidth="1"/>
    <col min="30" max="16384" width="9.140625" style="13" customWidth="1"/>
  </cols>
  <sheetData>
    <row r="1" spans="1:28" s="1" customFormat="1" ht="23.25">
      <c r="A1" s="687" t="s">
        <v>182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225"/>
      <c r="AB1" s="225"/>
    </row>
    <row r="2" spans="1:26" ht="21.75">
      <c r="A2" s="687" t="s">
        <v>183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</row>
    <row r="3" spans="1:26" ht="21.75">
      <c r="A3" s="689" t="s">
        <v>651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</row>
    <row r="4" spans="1:26" ht="15" customHeight="1">
      <c r="A4" s="226"/>
      <c r="B4" s="226"/>
      <c r="C4" s="314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327"/>
    </row>
    <row r="5" spans="1:26" ht="21.75">
      <c r="A5" s="227" t="s">
        <v>184</v>
      </c>
      <c r="B5" s="684" t="s">
        <v>185</v>
      </c>
      <c r="C5" s="683"/>
      <c r="D5" s="685"/>
      <c r="E5" s="680" t="s">
        <v>186</v>
      </c>
      <c r="F5" s="681"/>
      <c r="G5" s="685"/>
      <c r="H5" s="680" t="s">
        <v>187</v>
      </c>
      <c r="I5" s="681"/>
      <c r="J5" s="229"/>
      <c r="K5" s="230" t="s">
        <v>188</v>
      </c>
      <c r="L5" s="231"/>
      <c r="M5" s="680" t="s">
        <v>189</v>
      </c>
      <c r="N5" s="688"/>
      <c r="O5" s="681"/>
      <c r="P5" s="685"/>
      <c r="Q5" s="228" t="s">
        <v>190</v>
      </c>
      <c r="R5" s="232"/>
      <c r="S5" s="475" t="s">
        <v>191</v>
      </c>
      <c r="T5" s="476"/>
      <c r="U5" s="685"/>
      <c r="V5" s="680" t="s">
        <v>278</v>
      </c>
      <c r="W5" s="681"/>
      <c r="X5" s="228"/>
      <c r="Y5" s="233" t="s">
        <v>192</v>
      </c>
      <c r="Z5" s="678" t="s">
        <v>83</v>
      </c>
    </row>
    <row r="6" spans="1:26" ht="21.75">
      <c r="A6" s="234" t="s">
        <v>193</v>
      </c>
      <c r="B6" s="235" t="s">
        <v>194</v>
      </c>
      <c r="C6" s="235" t="s">
        <v>195</v>
      </c>
      <c r="D6" s="686"/>
      <c r="E6" s="228" t="s">
        <v>196</v>
      </c>
      <c r="F6" s="228" t="s">
        <v>197</v>
      </c>
      <c r="G6" s="686"/>
      <c r="H6" s="228" t="s">
        <v>198</v>
      </c>
      <c r="I6" s="228" t="s">
        <v>199</v>
      </c>
      <c r="J6" s="237"/>
      <c r="K6" s="230" t="s">
        <v>200</v>
      </c>
      <c r="L6" s="235"/>
      <c r="M6" s="238" t="s">
        <v>201</v>
      </c>
      <c r="N6" s="238" t="s">
        <v>202</v>
      </c>
      <c r="O6" s="238" t="s">
        <v>203</v>
      </c>
      <c r="P6" s="686"/>
      <c r="Q6" s="238" t="s">
        <v>204</v>
      </c>
      <c r="R6" s="235"/>
      <c r="S6" s="238" t="s">
        <v>205</v>
      </c>
      <c r="T6" s="238" t="s">
        <v>206</v>
      </c>
      <c r="U6" s="686"/>
      <c r="V6" s="233" t="s">
        <v>386</v>
      </c>
      <c r="W6" s="236" t="s">
        <v>279</v>
      </c>
      <c r="X6" s="236"/>
      <c r="Y6" s="239" t="s">
        <v>207</v>
      </c>
      <c r="Z6" s="679"/>
    </row>
    <row r="7" spans="1:27" s="537" customFormat="1" ht="21.75">
      <c r="A7" s="240" t="s">
        <v>267</v>
      </c>
      <c r="B7" s="321">
        <v>2538099.17</v>
      </c>
      <c r="C7" s="321">
        <v>537110.25</v>
      </c>
      <c r="D7" s="321" t="s">
        <v>117</v>
      </c>
      <c r="E7" s="321">
        <v>150823.26</v>
      </c>
      <c r="F7" s="320">
        <v>0</v>
      </c>
      <c r="G7" s="321" t="s">
        <v>117</v>
      </c>
      <c r="H7" s="320">
        <v>0</v>
      </c>
      <c r="I7" s="320">
        <v>0</v>
      </c>
      <c r="J7" s="320">
        <v>0</v>
      </c>
      <c r="K7" s="320">
        <v>0</v>
      </c>
      <c r="L7" s="320">
        <v>0</v>
      </c>
      <c r="M7" s="321">
        <v>262440</v>
      </c>
      <c r="N7" s="320">
        <v>0</v>
      </c>
      <c r="O7" s="320">
        <v>0</v>
      </c>
      <c r="P7" s="320">
        <v>0</v>
      </c>
      <c r="Q7" s="320">
        <v>0</v>
      </c>
      <c r="R7" s="320">
        <v>0</v>
      </c>
      <c r="S7" s="320">
        <v>0</v>
      </c>
      <c r="T7" s="320">
        <v>0</v>
      </c>
      <c r="U7" s="320">
        <v>0</v>
      </c>
      <c r="V7" s="320"/>
      <c r="W7" s="320">
        <v>0</v>
      </c>
      <c r="X7" s="320">
        <v>0</v>
      </c>
      <c r="Y7" s="320">
        <v>0</v>
      </c>
      <c r="Z7" s="328">
        <v>3488472.68</v>
      </c>
      <c r="AA7" s="536"/>
    </row>
    <row r="8" spans="1:26" ht="21.75">
      <c r="A8" s="240" t="s">
        <v>208</v>
      </c>
      <c r="B8" s="242">
        <v>42840</v>
      </c>
      <c r="C8" s="242" t="s">
        <v>117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329">
        <f>B8</f>
        <v>42840</v>
      </c>
    </row>
    <row r="9" spans="1:29" ht="23.25">
      <c r="A9" s="240" t="s">
        <v>209</v>
      </c>
      <c r="B9" s="242">
        <v>149740</v>
      </c>
      <c r="C9" s="242">
        <v>84780</v>
      </c>
      <c r="D9" s="241"/>
      <c r="E9" s="242">
        <v>22460</v>
      </c>
      <c r="F9" s="241"/>
      <c r="G9" s="241"/>
      <c r="H9" s="241"/>
      <c r="I9" s="241"/>
      <c r="J9" s="241"/>
      <c r="K9" s="241"/>
      <c r="L9" s="241"/>
      <c r="M9" s="242">
        <v>41750</v>
      </c>
      <c r="N9" s="243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329">
        <f>B9+C9+E9+F9+H9+I9+K9+M9+N9+O9+Q9+S9+T9+Y9</f>
        <v>298730</v>
      </c>
      <c r="AC9" s="285">
        <f>234681.24+31292.32</f>
        <v>265973.56</v>
      </c>
    </row>
    <row r="10" spans="1:29" ht="23.25">
      <c r="A10" s="240" t="s">
        <v>210</v>
      </c>
      <c r="B10" s="244">
        <f>4895+3500</f>
        <v>8395</v>
      </c>
      <c r="C10" s="244">
        <v>6270</v>
      </c>
      <c r="D10" s="245"/>
      <c r="E10" s="244">
        <v>3390</v>
      </c>
      <c r="F10" s="245"/>
      <c r="G10" s="245"/>
      <c r="H10" s="245"/>
      <c r="I10" s="245"/>
      <c r="J10" s="245"/>
      <c r="K10" s="245"/>
      <c r="L10" s="245"/>
      <c r="M10" s="244">
        <v>2660</v>
      </c>
      <c r="N10" s="246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329">
        <f>B10+C10+E10+F10+H10+I10+K10+M10+N10+O10+Q10+S10+T10+Y10</f>
        <v>20715</v>
      </c>
      <c r="AC10" s="285">
        <v>110000</v>
      </c>
    </row>
    <row r="11" spans="1:29" ht="23.25">
      <c r="A11" s="240" t="s">
        <v>211</v>
      </c>
      <c r="B11" s="242">
        <v>7020</v>
      </c>
      <c r="C11" s="242"/>
      <c r="D11" s="241"/>
      <c r="E11" s="242"/>
      <c r="F11" s="241"/>
      <c r="G11" s="241"/>
      <c r="H11" s="241"/>
      <c r="I11" s="241"/>
      <c r="J11" s="241"/>
      <c r="K11" s="241"/>
      <c r="L11" s="241"/>
      <c r="M11" s="242"/>
      <c r="N11" s="243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329">
        <f>B11+C11+E11+F11+H11+I11+K11+M11+N11+O11+Q11+S11+T11+Y11</f>
        <v>7020</v>
      </c>
      <c r="AC11" s="285">
        <f>1163003.58+580535+800</f>
        <v>1744338.58</v>
      </c>
    </row>
    <row r="12" spans="1:29" ht="23.25">
      <c r="A12" s="240" t="s">
        <v>212</v>
      </c>
      <c r="B12" s="242">
        <v>7200</v>
      </c>
      <c r="C12" s="242"/>
      <c r="D12" s="241"/>
      <c r="E12" s="242"/>
      <c r="F12" s="241"/>
      <c r="G12" s="241"/>
      <c r="H12" s="241"/>
      <c r="I12" s="241"/>
      <c r="J12" s="241"/>
      <c r="K12" s="241"/>
      <c r="L12" s="241"/>
      <c r="M12" s="242"/>
      <c r="N12" s="243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329">
        <f>B12+C12+E12+F12+H12+I12+K12+M12+N12+O12+Q12+S12+T12+Y12</f>
        <v>7200</v>
      </c>
      <c r="AC12" s="285">
        <f>225990+108470</f>
        <v>334460</v>
      </c>
    </row>
    <row r="13" spans="1:29" ht="24" thickBot="1">
      <c r="A13" s="240" t="s">
        <v>274</v>
      </c>
      <c r="B13" s="242">
        <v>200400</v>
      </c>
      <c r="C13" s="242"/>
      <c r="D13" s="241"/>
      <c r="E13" s="242"/>
      <c r="F13" s="241"/>
      <c r="G13" s="241"/>
      <c r="H13" s="241"/>
      <c r="I13" s="241"/>
      <c r="J13" s="241"/>
      <c r="K13" s="241"/>
      <c r="L13" s="241"/>
      <c r="M13" s="242"/>
      <c r="N13" s="243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329">
        <f>B13+C13+E13+F13+H13+I13+K13+M13+N13+O13+Q13+S13+T13+Y13</f>
        <v>200400</v>
      </c>
      <c r="AC13" s="285">
        <f>7688.39+2910</f>
        <v>10598.39</v>
      </c>
    </row>
    <row r="14" spans="1:29" ht="24" thickBot="1">
      <c r="A14" s="247" t="s">
        <v>213</v>
      </c>
      <c r="B14" s="248">
        <f>B8+B9+B10+B11+B12+B13</f>
        <v>415595</v>
      </c>
      <c r="C14" s="248">
        <f>SUM(C8:C13)</f>
        <v>91050</v>
      </c>
      <c r="D14" s="249"/>
      <c r="E14" s="248">
        <f>SUM(E8:E13)</f>
        <v>25850</v>
      </c>
      <c r="F14" s="249"/>
      <c r="G14" s="249"/>
      <c r="H14" s="249"/>
      <c r="I14" s="249"/>
      <c r="J14" s="249"/>
      <c r="K14" s="249"/>
      <c r="L14" s="249"/>
      <c r="M14" s="248">
        <f>SUM(M9:M13)</f>
        <v>44410</v>
      </c>
      <c r="N14" s="250"/>
      <c r="O14" s="249"/>
      <c r="P14" s="249"/>
      <c r="Q14" s="250"/>
      <c r="R14" s="249"/>
      <c r="S14" s="249"/>
      <c r="T14" s="249"/>
      <c r="U14" s="249"/>
      <c r="V14" s="249"/>
      <c r="W14" s="249"/>
      <c r="X14" s="249"/>
      <c r="Y14" s="249"/>
      <c r="Z14" s="331">
        <f>B14+C14+E14+M14</f>
        <v>576905</v>
      </c>
      <c r="AC14" s="285">
        <f>66809+53180</f>
        <v>119989</v>
      </c>
    </row>
    <row r="15" spans="1:29" ht="24" thickBot="1">
      <c r="A15" s="252" t="s">
        <v>214</v>
      </c>
      <c r="B15" s="248">
        <f>B14+B7</f>
        <v>2953694.17</v>
      </c>
      <c r="C15" s="248">
        <f>C14+C7</f>
        <v>628160.25</v>
      </c>
      <c r="D15" s="249"/>
      <c r="E15" s="248">
        <f>E14+E7</f>
        <v>176673.26</v>
      </c>
      <c r="F15" s="248"/>
      <c r="G15" s="249"/>
      <c r="H15" s="249"/>
      <c r="I15" s="249"/>
      <c r="J15" s="249"/>
      <c r="K15" s="249"/>
      <c r="L15" s="249"/>
      <c r="M15" s="248">
        <f>M14+M7</f>
        <v>306850</v>
      </c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331">
        <f>Z7+Z14</f>
        <v>4065377.68</v>
      </c>
      <c r="AA15" s="46">
        <f>Z15-งบทดลอง1!F20</f>
        <v>0</v>
      </c>
      <c r="AB15" s="46"/>
      <c r="AC15" s="285">
        <f>289605.25+282502.5+1118</f>
        <v>573225.75</v>
      </c>
    </row>
    <row r="16" spans="1:29" ht="23.25">
      <c r="A16" s="240" t="s">
        <v>268</v>
      </c>
      <c r="B16" s="323">
        <v>220490</v>
      </c>
      <c r="C16" s="323">
        <v>128790</v>
      </c>
      <c r="D16" s="307">
        <v>0</v>
      </c>
      <c r="E16" s="323">
        <v>19328.39</v>
      </c>
      <c r="F16" s="307">
        <v>0</v>
      </c>
      <c r="G16" s="307">
        <v>0</v>
      </c>
      <c r="H16" s="307">
        <v>0</v>
      </c>
      <c r="I16" s="307">
        <v>0</v>
      </c>
      <c r="J16" s="307">
        <v>0</v>
      </c>
      <c r="K16" s="307">
        <v>0</v>
      </c>
      <c r="L16" s="307">
        <v>0</v>
      </c>
      <c r="M16" s="322">
        <v>138780</v>
      </c>
      <c r="N16" s="307">
        <v>0</v>
      </c>
      <c r="O16" s="322">
        <v>145320</v>
      </c>
      <c r="P16" s="307">
        <v>0</v>
      </c>
      <c r="Q16" s="307">
        <v>0</v>
      </c>
      <c r="R16" s="307">
        <v>0</v>
      </c>
      <c r="S16" s="307">
        <v>0</v>
      </c>
      <c r="T16" s="307">
        <v>0</v>
      </c>
      <c r="U16" s="307">
        <v>0</v>
      </c>
      <c r="V16" s="307"/>
      <c r="W16" s="307">
        <v>0</v>
      </c>
      <c r="X16" s="307">
        <v>0</v>
      </c>
      <c r="Y16" s="307">
        <v>0</v>
      </c>
      <c r="Z16" s="332">
        <v>652708.39</v>
      </c>
      <c r="AC16" s="285">
        <f>101060+58929.74+82900</f>
        <v>242889.74</v>
      </c>
    </row>
    <row r="17" spans="1:29" ht="23.25">
      <c r="A17" s="240" t="s">
        <v>215</v>
      </c>
      <c r="B17" s="329">
        <v>35240</v>
      </c>
      <c r="C17" s="329">
        <v>8830</v>
      </c>
      <c r="D17" s="242" t="s">
        <v>117</v>
      </c>
      <c r="E17" s="242">
        <v>2910</v>
      </c>
      <c r="F17" s="241"/>
      <c r="G17" s="241"/>
      <c r="H17" s="241"/>
      <c r="I17" s="241"/>
      <c r="J17" s="241"/>
      <c r="K17" s="241"/>
      <c r="L17" s="241"/>
      <c r="M17" s="242">
        <v>23130</v>
      </c>
      <c r="N17" s="241"/>
      <c r="O17" s="242">
        <v>25580</v>
      </c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329">
        <f>B17+C17+E17+F17+H17+I17+K17+M17+N17+O17+Q17+S17+T17+Y17</f>
        <v>95690</v>
      </c>
      <c r="AC17" s="285">
        <f>28175.88+102403.42</f>
        <v>130579.3</v>
      </c>
    </row>
    <row r="18" spans="1:29" ht="24" thickBot="1">
      <c r="A18" s="240"/>
      <c r="B18" s="241"/>
      <c r="C18" s="242"/>
      <c r="D18" s="241"/>
      <c r="E18" s="241"/>
      <c r="F18" s="241"/>
      <c r="G18" s="241"/>
      <c r="H18" s="241"/>
      <c r="I18" s="241"/>
      <c r="J18" s="241"/>
      <c r="K18" s="241"/>
      <c r="L18" s="241"/>
      <c r="M18" s="242"/>
      <c r="N18" s="241"/>
      <c r="O18" s="242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330"/>
      <c r="AC18" s="285">
        <v>60540.48</v>
      </c>
    </row>
    <row r="19" spans="1:29" ht="24" thickBot="1">
      <c r="A19" s="247" t="s">
        <v>213</v>
      </c>
      <c r="B19" s="251">
        <f>SUM(B17:B18)</f>
        <v>35240</v>
      </c>
      <c r="C19" s="251">
        <f>SUM(C17:C18)</f>
        <v>8830</v>
      </c>
      <c r="D19" s="251"/>
      <c r="E19" s="251">
        <f>SUM(E17:E18)</f>
        <v>2910</v>
      </c>
      <c r="F19" s="249"/>
      <c r="G19" s="249"/>
      <c r="H19" s="249"/>
      <c r="I19" s="249"/>
      <c r="J19" s="249"/>
      <c r="K19" s="249"/>
      <c r="L19" s="249"/>
      <c r="M19" s="309">
        <f>SUM(M17:M18)</f>
        <v>23130</v>
      </c>
      <c r="N19" s="249"/>
      <c r="O19" s="248">
        <f>SUM(O17:O18)</f>
        <v>25580</v>
      </c>
      <c r="P19" s="249"/>
      <c r="Q19" s="250"/>
      <c r="R19" s="250"/>
      <c r="S19" s="249"/>
      <c r="T19" s="250"/>
      <c r="U19" s="249"/>
      <c r="V19" s="249"/>
      <c r="W19" s="249"/>
      <c r="X19" s="249"/>
      <c r="Y19" s="249"/>
      <c r="Z19" s="331">
        <f>B19+C19+E19+F19+H19+I19+K19+M19+N19+O19+Q19+S19+T19+Y19</f>
        <v>95690</v>
      </c>
      <c r="AC19" s="285">
        <f>50550.14+21986.25</f>
        <v>72536.39</v>
      </c>
    </row>
    <row r="20" spans="1:29" ht="24" thickBot="1">
      <c r="A20" s="252" t="s">
        <v>214</v>
      </c>
      <c r="B20" s="248">
        <f>B19+B16</f>
        <v>255730</v>
      </c>
      <c r="C20" s="248">
        <f>C19+C16</f>
        <v>137620</v>
      </c>
      <c r="D20" s="248" t="s">
        <v>117</v>
      </c>
      <c r="E20" s="248">
        <f>E19+E16</f>
        <v>22238.39</v>
      </c>
      <c r="F20" s="249"/>
      <c r="G20" s="249"/>
      <c r="H20" s="249"/>
      <c r="I20" s="249"/>
      <c r="J20" s="249"/>
      <c r="K20" s="249"/>
      <c r="L20" s="249"/>
      <c r="M20" s="248">
        <f>M19+M16</f>
        <v>161910</v>
      </c>
      <c r="N20" s="249"/>
      <c r="O20" s="248">
        <f>O19+O16</f>
        <v>170900</v>
      </c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331">
        <f>Z19+Z16</f>
        <v>748398.39</v>
      </c>
      <c r="AA20" s="296">
        <f>Z20-(งบทดลอง1!F21+งบทดลอง1!F22)</f>
        <v>0</v>
      </c>
      <c r="AC20" s="285">
        <f>1045555+108000</f>
        <v>1153555</v>
      </c>
    </row>
    <row r="21" spans="1:29" ht="23.25">
      <c r="A21" s="240" t="s">
        <v>269</v>
      </c>
      <c r="B21" s="324">
        <v>122864</v>
      </c>
      <c r="C21" s="324">
        <v>45139</v>
      </c>
      <c r="D21" s="324"/>
      <c r="E21" s="324">
        <v>23240</v>
      </c>
      <c r="F21" s="308">
        <v>454125.5</v>
      </c>
      <c r="G21" s="308">
        <v>454125.5</v>
      </c>
      <c r="H21" s="308">
        <v>454125.5</v>
      </c>
      <c r="I21" s="308">
        <v>454125.5</v>
      </c>
      <c r="J21" s="308">
        <v>454125.5</v>
      </c>
      <c r="K21" s="308">
        <v>454125.5</v>
      </c>
      <c r="L21" s="308">
        <v>454125.5</v>
      </c>
      <c r="M21" s="324">
        <v>30816</v>
      </c>
      <c r="N21" s="308">
        <v>454125.5</v>
      </c>
      <c r="O21" s="308">
        <v>454125.5</v>
      </c>
      <c r="P21" s="308">
        <v>454125.5</v>
      </c>
      <c r="Q21" s="308">
        <v>454125.5</v>
      </c>
      <c r="R21" s="308">
        <v>454125.5</v>
      </c>
      <c r="S21" s="308">
        <v>454125.5</v>
      </c>
      <c r="T21" s="308">
        <v>454125.5</v>
      </c>
      <c r="U21" s="308">
        <v>454125.5</v>
      </c>
      <c r="V21" s="308"/>
      <c r="W21" s="308">
        <v>454125.5</v>
      </c>
      <c r="X21" s="308">
        <v>454125.5</v>
      </c>
      <c r="Y21" s="308">
        <v>454125.5</v>
      </c>
      <c r="Z21" s="333">
        <v>208562</v>
      </c>
      <c r="AA21" s="46"/>
      <c r="AC21" s="460">
        <v>6100</v>
      </c>
    </row>
    <row r="22" spans="1:29" ht="23.25">
      <c r="A22" s="240" t="s">
        <v>216</v>
      </c>
      <c r="B22" s="242"/>
      <c r="C22" s="324"/>
      <c r="D22" s="241"/>
      <c r="E22" s="241"/>
      <c r="F22" s="241"/>
      <c r="G22" s="241"/>
      <c r="H22" s="241"/>
      <c r="I22" s="241"/>
      <c r="J22" s="241"/>
      <c r="K22" s="241"/>
      <c r="L22" s="241"/>
      <c r="M22" s="242" t="s">
        <v>117</v>
      </c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333">
        <f>B22</f>
        <v>0</v>
      </c>
      <c r="AC22" s="460">
        <v>59000</v>
      </c>
    </row>
    <row r="23" spans="1:29" ht="23.25">
      <c r="A23" s="240" t="s">
        <v>217</v>
      </c>
      <c r="B23" s="242">
        <v>1450</v>
      </c>
      <c r="C23" s="242"/>
      <c r="D23" s="241"/>
      <c r="E23" s="241"/>
      <c r="F23" s="241"/>
      <c r="G23" s="241"/>
      <c r="H23" s="241"/>
      <c r="I23" s="241"/>
      <c r="J23" s="241"/>
      <c r="K23" s="241"/>
      <c r="L23" s="241"/>
      <c r="M23" s="242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333">
        <f>B23</f>
        <v>1450</v>
      </c>
      <c r="AC23" s="460">
        <f>5100</f>
        <v>5100</v>
      </c>
    </row>
    <row r="24" spans="1:29" ht="23.25">
      <c r="A24" s="240" t="s">
        <v>218</v>
      </c>
      <c r="B24" s="242"/>
      <c r="C24" s="242"/>
      <c r="D24" s="241"/>
      <c r="E24" s="241"/>
      <c r="F24" s="241"/>
      <c r="G24" s="241"/>
      <c r="H24" s="241"/>
      <c r="I24" s="241"/>
      <c r="J24" s="241"/>
      <c r="K24" s="241"/>
      <c r="L24" s="241"/>
      <c r="M24" s="242"/>
      <c r="N24" s="243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333">
        <f>B24</f>
        <v>0</v>
      </c>
      <c r="AC24" s="460">
        <v>279000</v>
      </c>
    </row>
    <row r="25" spans="1:26" ht="21.75">
      <c r="A25" s="240" t="s">
        <v>219</v>
      </c>
      <c r="B25" s="244"/>
      <c r="C25" s="244"/>
      <c r="D25" s="245"/>
      <c r="E25" s="244"/>
      <c r="F25" s="245"/>
      <c r="G25" s="245"/>
      <c r="H25" s="245"/>
      <c r="I25" s="245"/>
      <c r="J25" s="245"/>
      <c r="K25" s="245"/>
      <c r="L25" s="245"/>
      <c r="M25" s="244"/>
      <c r="N25" s="246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333">
        <f>B25</f>
        <v>0</v>
      </c>
    </row>
    <row r="26" spans="1:26" ht="21.75">
      <c r="A26" s="240" t="s">
        <v>220</v>
      </c>
      <c r="B26" s="244">
        <v>10050</v>
      </c>
      <c r="C26" s="244">
        <v>4600</v>
      </c>
      <c r="D26" s="245"/>
      <c r="E26" s="244"/>
      <c r="F26" s="245"/>
      <c r="G26" s="245"/>
      <c r="H26" s="245"/>
      <c r="I26" s="245"/>
      <c r="J26" s="245"/>
      <c r="K26" s="245"/>
      <c r="L26" s="245"/>
      <c r="M26" s="244">
        <v>1600</v>
      </c>
      <c r="N26" s="246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333">
        <f>B26+C26+M26</f>
        <v>16250</v>
      </c>
    </row>
    <row r="27" spans="1:26" ht="21.75">
      <c r="A27" s="240" t="s">
        <v>221</v>
      </c>
      <c r="B27" s="244"/>
      <c r="C27" s="244"/>
      <c r="D27" s="245"/>
      <c r="E27" s="244"/>
      <c r="F27" s="245"/>
      <c r="G27" s="245"/>
      <c r="H27" s="245"/>
      <c r="I27" s="245"/>
      <c r="J27" s="245"/>
      <c r="K27" s="245"/>
      <c r="L27" s="245"/>
      <c r="M27" s="244">
        <v>555</v>
      </c>
      <c r="N27" s="246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333">
        <f>B27</f>
        <v>0</v>
      </c>
    </row>
    <row r="28" spans="1:26" ht="21.75">
      <c r="A28" s="240" t="s">
        <v>222</v>
      </c>
      <c r="B28" s="242"/>
      <c r="C28" s="242"/>
      <c r="D28" s="241"/>
      <c r="E28" s="242"/>
      <c r="F28" s="241"/>
      <c r="G28" s="241"/>
      <c r="H28" s="241"/>
      <c r="I28" s="241"/>
      <c r="J28" s="241"/>
      <c r="K28" s="241"/>
      <c r="L28" s="241"/>
      <c r="M28" s="242"/>
      <c r="N28" s="243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333">
        <f>C28+M28</f>
        <v>0</v>
      </c>
    </row>
    <row r="29" spans="1:26" ht="22.5" thickBot="1">
      <c r="A29" s="240" t="s">
        <v>223</v>
      </c>
      <c r="B29" s="254"/>
      <c r="C29" s="254"/>
      <c r="D29" s="255"/>
      <c r="E29" s="254"/>
      <c r="F29" s="255"/>
      <c r="G29" s="255"/>
      <c r="H29" s="255"/>
      <c r="I29" s="255"/>
      <c r="J29" s="255"/>
      <c r="K29" s="255"/>
      <c r="L29" s="255"/>
      <c r="M29" s="254"/>
      <c r="N29" s="256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334" t="s">
        <v>117</v>
      </c>
    </row>
    <row r="30" spans="1:27" ht="22.5" thickBot="1">
      <c r="A30" s="247" t="s">
        <v>213</v>
      </c>
      <c r="B30" s="248">
        <f>SUM(B22:B29)</f>
        <v>11500</v>
      </c>
      <c r="C30" s="248">
        <f>SUM(C22:C29)</f>
        <v>4600</v>
      </c>
      <c r="D30" s="248"/>
      <c r="E30" s="248">
        <f>SUM(E22:E29)</f>
        <v>0</v>
      </c>
      <c r="F30" s="249"/>
      <c r="G30" s="249"/>
      <c r="H30" s="249"/>
      <c r="I30" s="249"/>
      <c r="J30" s="249"/>
      <c r="K30" s="249"/>
      <c r="L30" s="249"/>
      <c r="M30" s="248">
        <f>SUM(M25:M29)</f>
        <v>2155</v>
      </c>
      <c r="N30" s="250"/>
      <c r="O30" s="249"/>
      <c r="P30" s="249"/>
      <c r="Q30" s="250"/>
      <c r="R30" s="249"/>
      <c r="S30" s="249"/>
      <c r="T30" s="249"/>
      <c r="U30" s="249"/>
      <c r="V30" s="249"/>
      <c r="W30" s="249"/>
      <c r="X30" s="249"/>
      <c r="Y30" s="311"/>
      <c r="Z30" s="335">
        <f>B30+C30+E30+F30+H30+I30+K30+M30+N30+O30+Q30+S30+T30+Y30</f>
        <v>18255</v>
      </c>
      <c r="AA30" s="46">
        <f>Z31-(งบทดลอง1!F23)</f>
        <v>0</v>
      </c>
    </row>
    <row r="31" spans="1:27" ht="22.5" thickBot="1">
      <c r="A31" s="252" t="s">
        <v>214</v>
      </c>
      <c r="B31" s="310">
        <f>B30+B21</f>
        <v>134364</v>
      </c>
      <c r="C31" s="248">
        <f>C30+C21</f>
        <v>49739</v>
      </c>
      <c r="D31" s="248"/>
      <c r="E31" s="248">
        <f>E30+E21</f>
        <v>23240</v>
      </c>
      <c r="F31" s="249"/>
      <c r="G31" s="249"/>
      <c r="H31" s="249"/>
      <c r="I31" s="249"/>
      <c r="J31" s="249"/>
      <c r="K31" s="249"/>
      <c r="L31" s="249"/>
      <c r="M31" s="248">
        <f>M30+M21</f>
        <v>32971</v>
      </c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336">
        <f>Z21+Z30</f>
        <v>226817</v>
      </c>
      <c r="AA31" s="46"/>
    </row>
    <row r="32" spans="1:27" ht="21.75">
      <c r="A32" s="240" t="s">
        <v>270</v>
      </c>
      <c r="B32" s="322">
        <v>725041.25</v>
      </c>
      <c r="C32" s="322">
        <v>181171.24</v>
      </c>
      <c r="D32" s="322"/>
      <c r="E32" s="322">
        <v>109260</v>
      </c>
      <c r="F32" s="322">
        <v>233927</v>
      </c>
      <c r="G32" s="307">
        <v>0</v>
      </c>
      <c r="H32" s="307">
        <v>0</v>
      </c>
      <c r="I32" s="307">
        <v>0</v>
      </c>
      <c r="J32" s="307">
        <v>0</v>
      </c>
      <c r="K32" s="307">
        <v>0</v>
      </c>
      <c r="L32" s="307">
        <v>0</v>
      </c>
      <c r="M32" s="322">
        <v>91530</v>
      </c>
      <c r="N32" s="322"/>
      <c r="O32" s="322">
        <v>266000</v>
      </c>
      <c r="P32" s="322"/>
      <c r="Q32" s="322">
        <v>6500</v>
      </c>
      <c r="R32" s="322"/>
      <c r="S32" s="322">
        <v>4650</v>
      </c>
      <c r="T32" s="322">
        <v>204490</v>
      </c>
      <c r="U32" s="322"/>
      <c r="V32" s="322">
        <v>3600</v>
      </c>
      <c r="W32" s="322">
        <v>6450</v>
      </c>
      <c r="X32" s="307"/>
      <c r="Y32" s="307">
        <v>0</v>
      </c>
      <c r="Z32" s="332">
        <v>1841443.49</v>
      </c>
      <c r="AA32" s="46"/>
    </row>
    <row r="33" spans="1:26" ht="21.75">
      <c r="A33" s="240" t="s">
        <v>224</v>
      </c>
      <c r="B33" s="242">
        <f>7701.59+3000</f>
        <v>10701.59</v>
      </c>
      <c r="C33" s="242">
        <v>21657.75</v>
      </c>
      <c r="D33" s="242"/>
      <c r="E33" s="242">
        <v>12000</v>
      </c>
      <c r="F33" s="254"/>
      <c r="G33" s="254"/>
      <c r="H33" s="254"/>
      <c r="I33" s="254"/>
      <c r="J33" s="254"/>
      <c r="K33" s="254"/>
      <c r="L33" s="254"/>
      <c r="M33" s="254">
        <v>1200</v>
      </c>
      <c r="N33" s="254"/>
      <c r="O33" s="254"/>
      <c r="P33" s="254"/>
      <c r="Q33" s="242"/>
      <c r="R33" s="254"/>
      <c r="S33" s="254"/>
      <c r="T33" s="254"/>
      <c r="U33" s="254"/>
      <c r="V33" s="254"/>
      <c r="W33" s="254"/>
      <c r="X33" s="254"/>
      <c r="Y33" s="254"/>
      <c r="Z33" s="329">
        <f>B33+C33+M33+E33+T33</f>
        <v>45559.34</v>
      </c>
    </row>
    <row r="34" spans="1:26" ht="21.75">
      <c r="A34" s="240" t="s">
        <v>225</v>
      </c>
      <c r="B34" s="254">
        <v>6020</v>
      </c>
      <c r="C34" s="254"/>
      <c r="D34" s="254"/>
      <c r="E34" s="254"/>
      <c r="F34" s="242"/>
      <c r="G34" s="242"/>
      <c r="H34" s="242"/>
      <c r="I34" s="242"/>
      <c r="J34" s="242"/>
      <c r="K34" s="242"/>
      <c r="L34" s="242"/>
      <c r="M34" s="242">
        <v>1000</v>
      </c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329">
        <f>B34+T34</f>
        <v>6020</v>
      </c>
    </row>
    <row r="35" spans="1:26" ht="21.75">
      <c r="A35" s="240" t="s">
        <v>226</v>
      </c>
      <c r="B35" s="242">
        <v>12600</v>
      </c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>
        <v>4333.5</v>
      </c>
      <c r="R35" s="242"/>
      <c r="S35" s="242"/>
      <c r="T35" s="242">
        <v>101912</v>
      </c>
      <c r="U35" s="242"/>
      <c r="V35" s="242"/>
      <c r="W35" s="242"/>
      <c r="X35" s="242"/>
      <c r="Y35" s="242"/>
      <c r="Z35" s="329">
        <f>B35+C35+E35+F35+H35+I35+K35+M35+N35+O35+Q35+S35+T35+Y35</f>
        <v>118845.5</v>
      </c>
    </row>
    <row r="36" spans="1:26" ht="22.5" thickBot="1">
      <c r="A36" s="240" t="s">
        <v>227</v>
      </c>
      <c r="B36" s="257">
        <f>54740+10608</f>
        <v>65348</v>
      </c>
      <c r="C36" s="257"/>
      <c r="D36" s="257"/>
      <c r="E36" s="257"/>
      <c r="F36" s="257"/>
      <c r="G36" s="257"/>
      <c r="H36" s="257"/>
      <c r="I36" s="257" t="s">
        <v>117</v>
      </c>
      <c r="J36" s="257"/>
      <c r="K36" s="257" t="s">
        <v>117</v>
      </c>
      <c r="L36" s="257" t="s">
        <v>117</v>
      </c>
      <c r="M36" s="257">
        <v>7532</v>
      </c>
      <c r="N36" s="257"/>
      <c r="O36" s="257">
        <v>66000</v>
      </c>
      <c r="P36" s="257"/>
      <c r="Q36" s="257">
        <v>9360</v>
      </c>
      <c r="R36" s="257"/>
      <c r="S36" s="257"/>
      <c r="T36" s="538"/>
      <c r="U36" s="257"/>
      <c r="V36" s="257"/>
      <c r="W36" s="257"/>
      <c r="X36" s="257"/>
      <c r="Y36" s="257"/>
      <c r="Z36" s="337">
        <f>B36+C36+E36+M36+Q36+T36+V36+F36+W36</f>
        <v>82240</v>
      </c>
    </row>
    <row r="37" spans="1:27" ht="22.5" thickBot="1">
      <c r="A37" s="247" t="s">
        <v>213</v>
      </c>
      <c r="B37" s="251">
        <f>B34+B33+B35+B36</f>
        <v>94669.59</v>
      </c>
      <c r="C37" s="251">
        <f>C34+C33+C35+C36</f>
        <v>21657.75</v>
      </c>
      <c r="D37" s="251"/>
      <c r="E37" s="251">
        <f>E34+E33+E35+E36</f>
        <v>12000</v>
      </c>
      <c r="F37" s="539">
        <f>F33+F34+F35+F36</f>
        <v>0</v>
      </c>
      <c r="G37" s="248"/>
      <c r="H37" s="248"/>
      <c r="I37" s="248" t="s">
        <v>117</v>
      </c>
      <c r="J37" s="251"/>
      <c r="K37" s="248" t="str">
        <f>K36</f>
        <v> </v>
      </c>
      <c r="L37" s="248"/>
      <c r="M37" s="540">
        <f>M33+M34+M35+M36</f>
        <v>9732</v>
      </c>
      <c r="N37" s="477">
        <f>N33+N34+N35+N36</f>
        <v>0</v>
      </c>
      <c r="O37" s="248">
        <f>O33+O34+O35+O36</f>
        <v>66000</v>
      </c>
      <c r="P37" s="248"/>
      <c r="Q37" s="248">
        <f>Q33+Q34+Q35+Q36</f>
        <v>13693.5</v>
      </c>
      <c r="R37" s="248"/>
      <c r="S37" s="248">
        <f>S33+S34+S35+S36</f>
        <v>0</v>
      </c>
      <c r="T37" s="540">
        <f>T36+T35+T34+T33</f>
        <v>101912</v>
      </c>
      <c r="U37" s="477"/>
      <c r="V37" s="540">
        <f>V36</f>
        <v>0</v>
      </c>
      <c r="W37" s="540">
        <f>W36</f>
        <v>0</v>
      </c>
      <c r="X37" s="248"/>
      <c r="Y37" s="248"/>
      <c r="Z37" s="336">
        <f>B37+C37+E37+F37+M37+O37+Q37+S37+T37+W37</f>
        <v>319664.83999999997</v>
      </c>
      <c r="AA37" s="46"/>
    </row>
    <row r="38" spans="1:28" ht="22.5" thickBot="1">
      <c r="A38" s="258" t="s">
        <v>214</v>
      </c>
      <c r="B38" s="248">
        <f>B37+B32</f>
        <v>819710.84</v>
      </c>
      <c r="C38" s="248">
        <f>C37+C32</f>
        <v>202828.99</v>
      </c>
      <c r="D38" s="248"/>
      <c r="E38" s="248">
        <f>E37+E32</f>
        <v>121260</v>
      </c>
      <c r="F38" s="540">
        <f>F37+F32</f>
        <v>233927</v>
      </c>
      <c r="G38" s="248"/>
      <c r="H38" s="248"/>
      <c r="I38" s="248" t="s">
        <v>117</v>
      </c>
      <c r="J38" s="248"/>
      <c r="K38" s="248" t="s">
        <v>117</v>
      </c>
      <c r="L38" s="248"/>
      <c r="M38" s="540">
        <f>M37+M32</f>
        <v>101262</v>
      </c>
      <c r="N38" s="477">
        <f>N37+N32</f>
        <v>0</v>
      </c>
      <c r="O38" s="248">
        <f>O37+O32</f>
        <v>332000</v>
      </c>
      <c r="P38" s="248"/>
      <c r="Q38" s="248">
        <f>Q37+Q32</f>
        <v>20193.5</v>
      </c>
      <c r="R38" s="248"/>
      <c r="S38" s="248">
        <f>S37+S32</f>
        <v>4650</v>
      </c>
      <c r="T38" s="540">
        <f>T37+T32</f>
        <v>306402</v>
      </c>
      <c r="U38" s="540"/>
      <c r="V38" s="540">
        <f>V37+V32</f>
        <v>3600</v>
      </c>
      <c r="W38" s="540">
        <f>W37+W32</f>
        <v>6450</v>
      </c>
      <c r="X38" s="248"/>
      <c r="Y38" s="248"/>
      <c r="Z38" s="336">
        <f>Z37+Z32</f>
        <v>2161108.33</v>
      </c>
      <c r="AA38" s="46">
        <f>Z38-(งบทดลอง1!F24+งบทดลอง1!F25)</f>
        <v>0</v>
      </c>
      <c r="AB38" s="46"/>
    </row>
    <row r="39" spans="1:27" ht="21.75">
      <c r="A39" s="277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  <c r="Z39" s="338"/>
      <c r="AA39" s="46"/>
    </row>
    <row r="40" spans="1:26" ht="21.75">
      <c r="A40" s="687" t="s">
        <v>228</v>
      </c>
      <c r="B40" s="687"/>
      <c r="C40" s="687"/>
      <c r="D40" s="687"/>
      <c r="E40" s="687"/>
      <c r="F40" s="687"/>
      <c r="G40" s="687"/>
      <c r="H40" s="687"/>
      <c r="I40" s="687"/>
      <c r="J40" s="687"/>
      <c r="K40" s="687"/>
      <c r="L40" s="687"/>
      <c r="M40" s="687"/>
      <c r="N40" s="687"/>
      <c r="O40" s="687"/>
      <c r="P40" s="687"/>
      <c r="Q40" s="687"/>
      <c r="R40" s="687"/>
      <c r="S40" s="687"/>
      <c r="T40" s="687"/>
      <c r="U40" s="687"/>
      <c r="V40" s="687"/>
      <c r="W40" s="687"/>
      <c r="X40" s="687"/>
      <c r="Y40" s="687"/>
      <c r="Z40" s="687"/>
    </row>
    <row r="41" spans="1:26" ht="21.75">
      <c r="A41" s="224"/>
      <c r="B41" s="224"/>
      <c r="C41" s="315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339"/>
    </row>
    <row r="42" spans="1:26" ht="21.75">
      <c r="A42" s="227" t="s">
        <v>184</v>
      </c>
      <c r="B42" s="684" t="s">
        <v>185</v>
      </c>
      <c r="C42" s="683"/>
      <c r="D42" s="685"/>
      <c r="E42" s="680" t="s">
        <v>186</v>
      </c>
      <c r="F42" s="681"/>
      <c r="G42" s="685"/>
      <c r="H42" s="680" t="s">
        <v>187</v>
      </c>
      <c r="I42" s="681"/>
      <c r="J42" s="229"/>
      <c r="K42" s="230" t="s">
        <v>188</v>
      </c>
      <c r="L42" s="231"/>
      <c r="M42" s="680" t="s">
        <v>189</v>
      </c>
      <c r="N42" s="688"/>
      <c r="O42" s="681"/>
      <c r="P42" s="685"/>
      <c r="Q42" s="228" t="s">
        <v>190</v>
      </c>
      <c r="R42" s="232"/>
      <c r="S42" s="682"/>
      <c r="T42" s="683"/>
      <c r="U42" s="685"/>
      <c r="V42" s="680" t="s">
        <v>278</v>
      </c>
      <c r="W42" s="681"/>
      <c r="X42" s="228"/>
      <c r="Y42" s="233" t="s">
        <v>192</v>
      </c>
      <c r="Z42" s="678" t="s">
        <v>83</v>
      </c>
    </row>
    <row r="43" spans="1:26" ht="21.75">
      <c r="A43" s="234" t="s">
        <v>193</v>
      </c>
      <c r="B43" s="235" t="s">
        <v>194</v>
      </c>
      <c r="C43" s="235" t="s">
        <v>195</v>
      </c>
      <c r="D43" s="686"/>
      <c r="E43" s="228" t="s">
        <v>196</v>
      </c>
      <c r="F43" s="228" t="s">
        <v>197</v>
      </c>
      <c r="G43" s="686"/>
      <c r="H43" s="228" t="s">
        <v>198</v>
      </c>
      <c r="I43" s="228" t="s">
        <v>199</v>
      </c>
      <c r="J43" s="237"/>
      <c r="K43" s="230" t="s">
        <v>200</v>
      </c>
      <c r="L43" s="235"/>
      <c r="M43" s="238" t="s">
        <v>201</v>
      </c>
      <c r="N43" s="238" t="s">
        <v>202</v>
      </c>
      <c r="O43" s="238" t="s">
        <v>203</v>
      </c>
      <c r="P43" s="686"/>
      <c r="Q43" s="238" t="s">
        <v>204</v>
      </c>
      <c r="R43" s="235"/>
      <c r="S43" s="238" t="s">
        <v>205</v>
      </c>
      <c r="T43" s="238" t="s">
        <v>206</v>
      </c>
      <c r="U43" s="686"/>
      <c r="V43" s="233" t="s">
        <v>386</v>
      </c>
      <c r="W43" s="236" t="s">
        <v>279</v>
      </c>
      <c r="X43" s="236"/>
      <c r="Y43" s="239" t="s">
        <v>207</v>
      </c>
      <c r="Z43" s="679"/>
    </row>
    <row r="44" spans="1:26" ht="21.75">
      <c r="A44" s="240" t="s">
        <v>271</v>
      </c>
      <c r="B44" s="324">
        <v>236509.91</v>
      </c>
      <c r="C44" s="324">
        <v>0</v>
      </c>
      <c r="D44" s="242"/>
      <c r="E44" s="324">
        <v>0</v>
      </c>
      <c r="F44" s="324">
        <v>170944.83</v>
      </c>
      <c r="G44" s="242"/>
      <c r="H44" s="324">
        <v>0</v>
      </c>
      <c r="I44" s="324">
        <v>0</v>
      </c>
      <c r="J44" s="242"/>
      <c r="K44" s="324">
        <v>0</v>
      </c>
      <c r="L44" s="253"/>
      <c r="M44" s="324">
        <v>81323.13</v>
      </c>
      <c r="N44" s="324">
        <v>0</v>
      </c>
      <c r="O44" s="324">
        <v>23670.9</v>
      </c>
      <c r="P44" s="242"/>
      <c r="Q44" s="324">
        <v>0</v>
      </c>
      <c r="R44" s="242"/>
      <c r="S44" s="324">
        <v>0</v>
      </c>
      <c r="T44" s="324">
        <v>18617.6</v>
      </c>
      <c r="U44" s="242"/>
      <c r="V44" s="324">
        <v>0</v>
      </c>
      <c r="W44" s="324">
        <v>0</v>
      </c>
      <c r="X44" s="242"/>
      <c r="Y44" s="324">
        <v>0</v>
      </c>
      <c r="Z44" s="329">
        <v>611575.63</v>
      </c>
    </row>
    <row r="45" spans="1:26" ht="21.75">
      <c r="A45" s="240" t="s">
        <v>229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53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329">
        <f>B45+C45+E45+F45+H45+I45+K45+M45+N45+O45+Q45+S45+T45+V45+W45+Y45</f>
        <v>0</v>
      </c>
    </row>
    <row r="46" spans="1:26" ht="21.75">
      <c r="A46" s="240" t="s">
        <v>230</v>
      </c>
      <c r="B46" s="417">
        <v>260</v>
      </c>
      <c r="C46" s="417"/>
      <c r="D46" s="417"/>
      <c r="E46" s="417"/>
      <c r="F46" s="417"/>
      <c r="G46" s="417"/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329">
        <f aca="true" t="shared" si="0" ref="Z46:Z60">B46+C46+E46+F46+H46+I46+K46+M46+N46+O46+Q46+S46+T46+V46+W46+Y46</f>
        <v>260</v>
      </c>
    </row>
    <row r="47" spans="1:26" ht="21.75">
      <c r="A47" s="240" t="s">
        <v>231</v>
      </c>
      <c r="B47" s="541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8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329">
        <f t="shared" si="0"/>
        <v>0</v>
      </c>
    </row>
    <row r="48" spans="1:26" ht="21.75">
      <c r="A48" s="240" t="s">
        <v>232</v>
      </c>
      <c r="B48" s="419"/>
      <c r="C48" s="419"/>
      <c r="D48" s="419"/>
      <c r="E48" s="417"/>
      <c r="F48" s="419"/>
      <c r="G48" s="419"/>
      <c r="H48" s="419"/>
      <c r="I48" s="419"/>
      <c r="J48" s="419"/>
      <c r="K48" s="419"/>
      <c r="L48" s="419"/>
      <c r="M48" s="419"/>
      <c r="N48" s="420"/>
      <c r="O48" s="419"/>
      <c r="P48" s="419"/>
      <c r="Q48" s="419"/>
      <c r="R48" s="419"/>
      <c r="S48" s="419"/>
      <c r="T48" s="419"/>
      <c r="U48" s="419"/>
      <c r="V48" s="419"/>
      <c r="W48" s="419"/>
      <c r="X48" s="419"/>
      <c r="Y48" s="419"/>
      <c r="Z48" s="329">
        <f t="shared" si="0"/>
        <v>0</v>
      </c>
    </row>
    <row r="49" spans="1:26" ht="21.75">
      <c r="A49" s="240" t="s">
        <v>233</v>
      </c>
      <c r="B49" s="417"/>
      <c r="C49" s="417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8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7"/>
      <c r="Z49" s="329">
        <f t="shared" si="0"/>
        <v>0</v>
      </c>
    </row>
    <row r="50" spans="1:26" ht="21.75">
      <c r="A50" s="240" t="s">
        <v>284</v>
      </c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8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7"/>
      <c r="Z50" s="329">
        <f t="shared" si="0"/>
        <v>0</v>
      </c>
    </row>
    <row r="51" spans="1:26" ht="21.75">
      <c r="A51" s="240" t="s">
        <v>234</v>
      </c>
      <c r="B51" s="417"/>
      <c r="C51" s="417"/>
      <c r="D51" s="417"/>
      <c r="E51" s="417"/>
      <c r="F51" s="417"/>
      <c r="G51" s="417"/>
      <c r="H51" s="417">
        <v>217.15</v>
      </c>
      <c r="I51" s="417"/>
      <c r="J51" s="417"/>
      <c r="K51" s="417"/>
      <c r="L51" s="417"/>
      <c r="M51" s="417"/>
      <c r="N51" s="418"/>
      <c r="O51" s="417">
        <v>8060.1</v>
      </c>
      <c r="P51" s="417"/>
      <c r="Q51" s="417"/>
      <c r="R51" s="417"/>
      <c r="S51" s="417"/>
      <c r="T51" s="417"/>
      <c r="U51" s="417"/>
      <c r="V51" s="417"/>
      <c r="W51" s="417"/>
      <c r="X51" s="417"/>
      <c r="Y51" s="417"/>
      <c r="Z51" s="329">
        <f>B51+C51+E51+F51+H51+I51+K51+M51+N51+O51+Q51+S51+T51+V51+W51+Y51</f>
        <v>8277.25</v>
      </c>
    </row>
    <row r="52" spans="1:26" ht="21.75">
      <c r="A52" s="240" t="s">
        <v>235</v>
      </c>
      <c r="B52" s="417"/>
      <c r="C52" s="417"/>
      <c r="D52" s="417"/>
      <c r="E52" s="417"/>
      <c r="F52" s="417"/>
      <c r="G52" s="417"/>
      <c r="H52" s="417"/>
      <c r="I52" s="417">
        <v>12500</v>
      </c>
      <c r="J52" s="417"/>
      <c r="K52" s="417"/>
      <c r="L52" s="417"/>
      <c r="M52" s="417"/>
      <c r="N52" s="418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7"/>
      <c r="Z52" s="329">
        <f t="shared" si="0"/>
        <v>12500</v>
      </c>
    </row>
    <row r="53" spans="1:26" ht="21.75">
      <c r="A53" s="240" t="s">
        <v>236</v>
      </c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8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7"/>
      <c r="Z53" s="329">
        <f t="shared" si="0"/>
        <v>0</v>
      </c>
    </row>
    <row r="54" spans="1:26" ht="21.75">
      <c r="A54" s="240" t="s">
        <v>237</v>
      </c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8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329">
        <f t="shared" si="0"/>
        <v>0</v>
      </c>
    </row>
    <row r="55" spans="1:26" ht="21.75">
      <c r="A55" s="240" t="s">
        <v>238</v>
      </c>
      <c r="B55" s="417"/>
      <c r="C55" s="417"/>
      <c r="D55" s="417"/>
      <c r="E55" s="417"/>
      <c r="F55" s="417"/>
      <c r="G55" s="417"/>
      <c r="H55" s="417"/>
      <c r="I55" s="417"/>
      <c r="J55" s="417"/>
      <c r="K55" s="417"/>
      <c r="L55" s="417"/>
      <c r="M55" s="417"/>
      <c r="N55" s="418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7"/>
      <c r="Z55" s="329">
        <f t="shared" si="0"/>
        <v>0</v>
      </c>
    </row>
    <row r="56" spans="1:26" ht="21.75">
      <c r="A56" s="240" t="s">
        <v>239</v>
      </c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8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329">
        <f>B56+C56+E56+F56+H56+I56+K56+M56+N56+O56+Q56+S56+T56+V56+W56+Y56</f>
        <v>0</v>
      </c>
    </row>
    <row r="57" spans="1:26" ht="21.75">
      <c r="A57" s="240" t="s">
        <v>240</v>
      </c>
      <c r="B57" s="417">
        <v>5200</v>
      </c>
      <c r="C57" s="417"/>
      <c r="D57" s="417"/>
      <c r="E57" s="417"/>
      <c r="F57" s="417"/>
      <c r="G57" s="417"/>
      <c r="H57" s="417"/>
      <c r="I57" s="417"/>
      <c r="J57" s="417"/>
      <c r="K57" s="417"/>
      <c r="L57" s="417"/>
      <c r="M57" s="417"/>
      <c r="N57" s="418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7"/>
      <c r="Z57" s="329">
        <f t="shared" si="0"/>
        <v>5200</v>
      </c>
    </row>
    <row r="58" spans="1:26" ht="21.75">
      <c r="A58" s="288" t="s">
        <v>287</v>
      </c>
      <c r="B58" s="417"/>
      <c r="C58" s="417"/>
      <c r="D58" s="417"/>
      <c r="E58" s="417"/>
      <c r="F58" s="417"/>
      <c r="G58" s="417"/>
      <c r="H58" s="417"/>
      <c r="I58" s="417"/>
      <c r="J58" s="417"/>
      <c r="K58" s="417"/>
      <c r="L58" s="417"/>
      <c r="M58" s="417"/>
      <c r="N58" s="418"/>
      <c r="O58" s="417"/>
      <c r="P58" s="417"/>
      <c r="Q58" s="417"/>
      <c r="R58" s="417"/>
      <c r="S58" s="417"/>
      <c r="T58" s="417"/>
      <c r="U58" s="417"/>
      <c r="V58" s="417"/>
      <c r="W58" s="417"/>
      <c r="X58" s="417"/>
      <c r="Y58" s="417"/>
      <c r="Z58" s="329">
        <f t="shared" si="0"/>
        <v>0</v>
      </c>
    </row>
    <row r="59" spans="1:26" ht="21.75">
      <c r="A59" s="240" t="s">
        <v>509</v>
      </c>
      <c r="B59" s="417"/>
      <c r="C59" s="417"/>
      <c r="D59" s="417"/>
      <c r="E59" s="417"/>
      <c r="F59" s="417">
        <v>92689.8</v>
      </c>
      <c r="G59" s="417"/>
      <c r="H59" s="417"/>
      <c r="I59" s="417"/>
      <c r="J59" s="417"/>
      <c r="K59" s="417"/>
      <c r="L59" s="417"/>
      <c r="M59" s="417"/>
      <c r="N59" s="418"/>
      <c r="O59" s="417"/>
      <c r="P59" s="417"/>
      <c r="Q59" s="417"/>
      <c r="R59" s="417"/>
      <c r="S59" s="417"/>
      <c r="T59" s="417"/>
      <c r="U59" s="417"/>
      <c r="V59" s="417"/>
      <c r="W59" s="417"/>
      <c r="X59" s="417"/>
      <c r="Y59" s="417"/>
      <c r="Z59" s="329">
        <f t="shared" si="0"/>
        <v>92689.8</v>
      </c>
    </row>
    <row r="60" spans="1:27" ht="22.5" thickBot="1">
      <c r="A60" s="247" t="s">
        <v>213</v>
      </c>
      <c r="B60" s="542">
        <f>SUM(B45:B59)</f>
        <v>5460</v>
      </c>
      <c r="C60" s="542"/>
      <c r="D60" s="542"/>
      <c r="E60" s="542"/>
      <c r="F60" s="542">
        <f>SUM(F45:F59)</f>
        <v>92689.8</v>
      </c>
      <c r="G60" s="542">
        <f>SUM(G45:G59)</f>
        <v>0</v>
      </c>
      <c r="H60" s="542">
        <f>SUM(H45:H59)</f>
        <v>217.15</v>
      </c>
      <c r="I60" s="542">
        <f>SUM(I45:I59)</f>
        <v>12500</v>
      </c>
      <c r="J60" s="421"/>
      <c r="K60" s="478">
        <f>SUM(K46:K59)</f>
        <v>0</v>
      </c>
      <c r="L60" s="421"/>
      <c r="M60" s="421">
        <f>SUM(M46:M59)</f>
        <v>0</v>
      </c>
      <c r="N60" s="478">
        <f>SUM(N46:N59)</f>
        <v>0</v>
      </c>
      <c r="O60" s="542">
        <f aca="true" t="shared" si="1" ref="O60:T60">SUM(O45:O59)</f>
        <v>8060.1</v>
      </c>
      <c r="P60" s="543">
        <f t="shared" si="1"/>
        <v>0</v>
      </c>
      <c r="Q60" s="543">
        <f t="shared" si="1"/>
        <v>0</v>
      </c>
      <c r="R60" s="543">
        <f t="shared" si="1"/>
        <v>0</v>
      </c>
      <c r="S60" s="543">
        <f t="shared" si="1"/>
        <v>0</v>
      </c>
      <c r="T60" s="542">
        <f t="shared" si="1"/>
        <v>0</v>
      </c>
      <c r="U60" s="421"/>
      <c r="V60" s="478">
        <f>SUM(V45:V59)</f>
        <v>0</v>
      </c>
      <c r="W60" s="478">
        <f>SUM(W45:W59)</f>
        <v>0</v>
      </c>
      <c r="X60" s="421"/>
      <c r="Y60" s="478">
        <f>SUM(Y45:Y59)</f>
        <v>0</v>
      </c>
      <c r="Z60" s="329">
        <f t="shared" si="0"/>
        <v>118927.05</v>
      </c>
      <c r="AA60" s="46"/>
    </row>
    <row r="61" spans="1:27" ht="22.5" thickBot="1">
      <c r="A61" s="252" t="s">
        <v>214</v>
      </c>
      <c r="B61" s="544">
        <f>B44+B60</f>
        <v>241969.91</v>
      </c>
      <c r="C61" s="544"/>
      <c r="D61" s="544"/>
      <c r="E61" s="544"/>
      <c r="F61" s="544">
        <f>F44+F60</f>
        <v>263634.63</v>
      </c>
      <c r="G61" s="544">
        <f>G44+G60</f>
        <v>0</v>
      </c>
      <c r="H61" s="544">
        <f>H44+H60</f>
        <v>217.15</v>
      </c>
      <c r="I61" s="544">
        <f>I44+I60</f>
        <v>12500</v>
      </c>
      <c r="J61" s="422"/>
      <c r="K61" s="422"/>
      <c r="L61" s="422"/>
      <c r="M61" s="422">
        <f>M60+M44</f>
        <v>81323.13</v>
      </c>
      <c r="N61" s="422"/>
      <c r="O61" s="544">
        <f aca="true" t="shared" si="2" ref="O61:T61">O60+O44</f>
        <v>31731</v>
      </c>
      <c r="P61" s="545">
        <f t="shared" si="2"/>
        <v>0</v>
      </c>
      <c r="Q61" s="545">
        <f t="shared" si="2"/>
        <v>0</v>
      </c>
      <c r="R61" s="545">
        <f t="shared" si="2"/>
        <v>0</v>
      </c>
      <c r="S61" s="545">
        <f t="shared" si="2"/>
        <v>0</v>
      </c>
      <c r="T61" s="544">
        <f t="shared" si="2"/>
        <v>18617.6</v>
      </c>
      <c r="U61" s="422"/>
      <c r="V61" s="422"/>
      <c r="W61" s="422"/>
      <c r="X61" s="422"/>
      <c r="Y61" s="422"/>
      <c r="Z61" s="423">
        <f>+Z44+Z60</f>
        <v>730502.68</v>
      </c>
      <c r="AA61" s="46">
        <f>Z61-(งบทดลอง1!F26+งบทดลอง1!F27)</f>
        <v>0</v>
      </c>
    </row>
    <row r="62" spans="1:26" ht="21.75">
      <c r="A62" s="240" t="s">
        <v>272</v>
      </c>
      <c r="B62" s="253">
        <v>170237.36</v>
      </c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340">
        <v>170237.36</v>
      </c>
    </row>
    <row r="63" spans="1:26" ht="21.75">
      <c r="A63" s="263" t="s">
        <v>241</v>
      </c>
      <c r="B63" s="242">
        <v>39657.61</v>
      </c>
      <c r="C63" s="254" t="s">
        <v>117</v>
      </c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44"/>
      <c r="R63" s="254"/>
      <c r="S63" s="254"/>
      <c r="T63" s="254"/>
      <c r="U63" s="254"/>
      <c r="V63" s="254"/>
      <c r="W63" s="254"/>
      <c r="X63" s="254"/>
      <c r="Y63" s="254"/>
      <c r="Z63" s="330">
        <f>B63+AA63</f>
        <v>39657.61</v>
      </c>
    </row>
    <row r="64" spans="1:26" ht="21.75">
      <c r="A64" s="240" t="s">
        <v>242</v>
      </c>
      <c r="B64" s="242">
        <v>2618.8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330">
        <f>B64+C64+E64+F64+H64+I64+K64+M64+N64+O64+Q64+V64+W64+S64+T64+Y64</f>
        <v>2618.8</v>
      </c>
    </row>
    <row r="65" spans="1:26" ht="21.75">
      <c r="A65" s="240" t="s">
        <v>243</v>
      </c>
      <c r="B65" s="242">
        <v>8936.48</v>
      </c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330">
        <f>B65+C65+E65+F65+H65+I65+K65+M65+N65+O65+Q65+V65+W65+S65+T65+Y65</f>
        <v>8936.48</v>
      </c>
    </row>
    <row r="66" spans="1:26" ht="22.5" thickBot="1">
      <c r="A66" s="240" t="s">
        <v>244</v>
      </c>
      <c r="B66" s="242">
        <v>1912</v>
      </c>
      <c r="C66" s="254"/>
      <c r="D66" s="254"/>
      <c r="E66" s="254"/>
      <c r="F66" s="254"/>
      <c r="G66" s="254"/>
      <c r="H66" s="254"/>
      <c r="I66" s="254"/>
      <c r="J66" s="254"/>
      <c r="K66" s="254"/>
      <c r="L66" s="254"/>
      <c r="M66" s="254"/>
      <c r="N66" s="254"/>
      <c r="O66" s="254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330">
        <f>B66+C66+E66+F66+H66+I66+K66+M66+N66+O66+Q66+V66+W66+S66+T66+Y66</f>
        <v>1912</v>
      </c>
    </row>
    <row r="67" spans="1:26" ht="22.5" thickBot="1">
      <c r="A67" s="247" t="s">
        <v>213</v>
      </c>
      <c r="B67" s="251">
        <f>SUM(B63:B66)</f>
        <v>53124.89</v>
      </c>
      <c r="C67" s="251"/>
      <c r="D67" s="248"/>
      <c r="E67" s="248"/>
      <c r="F67" s="248"/>
      <c r="G67" s="248"/>
      <c r="H67" s="248"/>
      <c r="I67" s="251"/>
      <c r="J67" s="251"/>
      <c r="K67" s="248"/>
      <c r="L67" s="248"/>
      <c r="M67" s="248"/>
      <c r="N67" s="248"/>
      <c r="O67" s="248"/>
      <c r="P67" s="248"/>
      <c r="Q67" s="251"/>
      <c r="R67" s="251"/>
      <c r="S67" s="248"/>
      <c r="T67" s="248"/>
      <c r="U67" s="248"/>
      <c r="V67" s="248"/>
      <c r="W67" s="248"/>
      <c r="X67" s="248"/>
      <c r="Y67" s="248"/>
      <c r="Z67" s="330">
        <f>B67+C67+E67+F67+H67+I67+K67+M67+N67+O67+Q67+V67+W67+S67+T67+Y67</f>
        <v>53124.89</v>
      </c>
    </row>
    <row r="68" spans="1:27" ht="22.5" thickBot="1">
      <c r="A68" s="252" t="s">
        <v>214</v>
      </c>
      <c r="B68" s="248">
        <f>B62+B67</f>
        <v>223362.25</v>
      </c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336">
        <f>Z62+Z67</f>
        <v>223362.25</v>
      </c>
      <c r="AA68" s="46">
        <f>Z68-(งบทดลอง1!F28+งบทดลอง1!F29)</f>
        <v>0</v>
      </c>
    </row>
    <row r="69" spans="1:26" ht="21.75">
      <c r="A69" s="240" t="s">
        <v>275</v>
      </c>
      <c r="B69" s="546">
        <v>1121555</v>
      </c>
      <c r="C69" s="253"/>
      <c r="D69" s="253"/>
      <c r="E69" s="253"/>
      <c r="F69" s="480">
        <v>0</v>
      </c>
      <c r="G69" s="253"/>
      <c r="H69" s="253"/>
      <c r="I69" s="480">
        <v>0</v>
      </c>
      <c r="J69" s="253"/>
      <c r="K69" s="253" t="s">
        <v>117</v>
      </c>
      <c r="L69" s="253"/>
      <c r="M69" s="253"/>
      <c r="N69" s="253">
        <v>187874.49</v>
      </c>
      <c r="O69" s="480">
        <v>0</v>
      </c>
      <c r="P69" s="253"/>
      <c r="Q69" s="482">
        <v>0</v>
      </c>
      <c r="R69" s="253"/>
      <c r="S69" s="480">
        <v>0</v>
      </c>
      <c r="T69" s="253">
        <v>253000</v>
      </c>
      <c r="U69" s="253"/>
      <c r="V69" s="253"/>
      <c r="W69" s="253" t="s">
        <v>117</v>
      </c>
      <c r="X69" s="253"/>
      <c r="Y69" s="253"/>
      <c r="Z69" s="340">
        <v>1562429.49</v>
      </c>
    </row>
    <row r="70" spans="1:26" ht="21.75">
      <c r="A70" s="240" t="s">
        <v>245</v>
      </c>
      <c r="B70" s="253"/>
      <c r="C70" s="253"/>
      <c r="D70" s="253"/>
      <c r="E70" s="253"/>
      <c r="F70" s="480"/>
      <c r="G70" s="253"/>
      <c r="H70" s="253"/>
      <c r="I70" s="480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340">
        <f>+B70+C70+E70+F70+H70+I70+M70+N70+O70+Q70+S70+T70</f>
        <v>0</v>
      </c>
    </row>
    <row r="71" spans="1:26" ht="21.75">
      <c r="A71" s="240" t="s">
        <v>246</v>
      </c>
      <c r="B71" s="547"/>
      <c r="C71" s="242"/>
      <c r="D71" s="242"/>
      <c r="E71" s="242"/>
      <c r="F71" s="481"/>
      <c r="G71" s="242"/>
      <c r="H71" s="242"/>
      <c r="I71" s="481"/>
      <c r="J71" s="242"/>
      <c r="K71" s="242"/>
      <c r="L71" s="242"/>
      <c r="M71" s="242"/>
      <c r="N71" s="242">
        <v>149068.24</v>
      </c>
      <c r="O71" s="242"/>
      <c r="P71" s="242"/>
      <c r="Q71" s="242"/>
      <c r="R71" s="242"/>
      <c r="S71" s="242"/>
      <c r="T71" s="481">
        <v>50000</v>
      </c>
      <c r="U71" s="242"/>
      <c r="V71" s="242"/>
      <c r="W71" s="242"/>
      <c r="X71" s="242"/>
      <c r="Y71" s="242"/>
      <c r="Z71" s="340">
        <f>B71+N71</f>
        <v>149068.24</v>
      </c>
    </row>
    <row r="72" spans="1:26" ht="22.5" thickBot="1">
      <c r="A72" s="240" t="s">
        <v>247</v>
      </c>
      <c r="B72" s="481"/>
      <c r="C72" s="242"/>
      <c r="D72" s="242"/>
      <c r="E72" s="242"/>
      <c r="F72" s="481"/>
      <c r="G72" s="242"/>
      <c r="H72" s="242"/>
      <c r="I72" s="481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340">
        <f>T72</f>
        <v>0</v>
      </c>
    </row>
    <row r="73" spans="1:26" ht="22.5" thickBot="1">
      <c r="A73" s="247" t="s">
        <v>213</v>
      </c>
      <c r="B73" s="539">
        <f>B71+B70</f>
        <v>0</v>
      </c>
      <c r="C73" s="539"/>
      <c r="D73" s="539"/>
      <c r="E73" s="539"/>
      <c r="F73" s="539"/>
      <c r="G73" s="539"/>
      <c r="H73" s="539"/>
      <c r="I73" s="539"/>
      <c r="J73" s="539"/>
      <c r="K73" s="539"/>
      <c r="L73" s="539"/>
      <c r="M73" s="539"/>
      <c r="N73" s="539">
        <f>N71</f>
        <v>149068.24</v>
      </c>
      <c r="O73" s="248">
        <f>O71</f>
        <v>0</v>
      </c>
      <c r="P73" s="248"/>
      <c r="Q73" s="248"/>
      <c r="R73" s="248"/>
      <c r="S73" s="248"/>
      <c r="T73" s="242">
        <f>T72</f>
        <v>0</v>
      </c>
      <c r="U73" s="248"/>
      <c r="V73" s="248"/>
      <c r="W73" s="248" t="s">
        <v>117</v>
      </c>
      <c r="X73" s="248"/>
      <c r="Y73" s="248"/>
      <c r="Z73" s="336">
        <f>Z72+Z71+Z70</f>
        <v>149068.24</v>
      </c>
    </row>
    <row r="74" spans="1:27" ht="22.5" thickBot="1">
      <c r="A74" s="252" t="s">
        <v>214</v>
      </c>
      <c r="B74" s="540">
        <f>B69+B73</f>
        <v>1121555</v>
      </c>
      <c r="C74" s="248"/>
      <c r="D74" s="248"/>
      <c r="E74" s="248"/>
      <c r="F74" s="477">
        <f>F69+F73</f>
        <v>0</v>
      </c>
      <c r="G74" s="248"/>
      <c r="H74" s="248"/>
      <c r="I74" s="479">
        <f>I73+I69</f>
        <v>0</v>
      </c>
      <c r="J74" s="248"/>
      <c r="K74" s="477">
        <f>K73</f>
        <v>0</v>
      </c>
      <c r="L74" s="248"/>
      <c r="M74" s="248"/>
      <c r="N74" s="248">
        <f>N73+N69</f>
        <v>336942.73</v>
      </c>
      <c r="O74" s="248">
        <f>O73+O69</f>
        <v>0</v>
      </c>
      <c r="P74" s="248"/>
      <c r="Q74" s="248"/>
      <c r="R74" s="248"/>
      <c r="S74" s="248"/>
      <c r="T74" s="242">
        <f>T69+T72</f>
        <v>253000</v>
      </c>
      <c r="U74" s="248"/>
      <c r="V74" s="248"/>
      <c r="W74" s="248" t="s">
        <v>117</v>
      </c>
      <c r="X74" s="248"/>
      <c r="Y74" s="248"/>
      <c r="Z74" s="336">
        <f>Z73+Z69</f>
        <v>1711497.73</v>
      </c>
      <c r="AA74" s="46">
        <f>Z74-(งบทดลอง1!F30+งบทดลอง1!F31)</f>
        <v>0</v>
      </c>
    </row>
    <row r="75" spans="1:26" ht="21.75">
      <c r="A75" s="265"/>
      <c r="B75" s="266"/>
      <c r="C75" s="316"/>
      <c r="D75" s="266"/>
      <c r="E75" s="266"/>
      <c r="F75" s="266"/>
      <c r="G75" s="266"/>
      <c r="H75" s="266"/>
      <c r="I75" s="266"/>
      <c r="J75" s="266"/>
      <c r="K75" s="266"/>
      <c r="L75" s="266"/>
      <c r="M75" s="266"/>
      <c r="N75" s="266"/>
      <c r="O75" s="266"/>
      <c r="P75" s="266"/>
      <c r="Q75" s="266"/>
      <c r="R75" s="266"/>
      <c r="S75" s="266"/>
      <c r="T75" s="266"/>
      <c r="U75" s="266"/>
      <c r="V75" s="266"/>
      <c r="W75" s="266"/>
      <c r="X75" s="266"/>
      <c r="Y75" s="266"/>
      <c r="Z75" s="341"/>
    </row>
    <row r="76" spans="1:26" ht="31.5" customHeight="1">
      <c r="A76" s="267"/>
      <c r="B76" s="268"/>
      <c r="C76" s="317"/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342"/>
    </row>
    <row r="77" spans="1:26" ht="21.75">
      <c r="A77" s="687" t="s">
        <v>248</v>
      </c>
      <c r="B77" s="687"/>
      <c r="C77" s="687"/>
      <c r="D77" s="687"/>
      <c r="E77" s="687"/>
      <c r="F77" s="687"/>
      <c r="G77" s="687"/>
      <c r="H77" s="687"/>
      <c r="I77" s="687"/>
      <c r="J77" s="687"/>
      <c r="K77" s="687"/>
      <c r="L77" s="687"/>
      <c r="M77" s="687"/>
      <c r="N77" s="687"/>
      <c r="O77" s="687"/>
      <c r="P77" s="687"/>
      <c r="Q77" s="687"/>
      <c r="R77" s="687"/>
      <c r="S77" s="687"/>
      <c r="T77" s="687"/>
      <c r="U77" s="687"/>
      <c r="V77" s="687"/>
      <c r="W77" s="687"/>
      <c r="X77" s="687"/>
      <c r="Y77" s="687"/>
      <c r="Z77" s="687"/>
    </row>
    <row r="78" spans="1:26" ht="21.75">
      <c r="A78" s="227" t="s">
        <v>184</v>
      </c>
      <c r="B78" s="684" t="s">
        <v>185</v>
      </c>
      <c r="C78" s="683"/>
      <c r="D78" s="685"/>
      <c r="E78" s="680" t="s">
        <v>186</v>
      </c>
      <c r="F78" s="681"/>
      <c r="G78" s="685"/>
      <c r="H78" s="680" t="s">
        <v>187</v>
      </c>
      <c r="I78" s="681"/>
      <c r="J78" s="228"/>
      <c r="K78" s="230" t="s">
        <v>188</v>
      </c>
      <c r="L78" s="231"/>
      <c r="M78" s="680" t="s">
        <v>189</v>
      </c>
      <c r="N78" s="688"/>
      <c r="O78" s="681"/>
      <c r="P78" s="685"/>
      <c r="Q78" s="228" t="s">
        <v>190</v>
      </c>
      <c r="R78" s="232"/>
      <c r="S78" s="682"/>
      <c r="T78" s="683"/>
      <c r="U78" s="685"/>
      <c r="V78" s="680" t="s">
        <v>278</v>
      </c>
      <c r="W78" s="681"/>
      <c r="X78" s="228"/>
      <c r="Y78" s="233" t="s">
        <v>192</v>
      </c>
      <c r="Z78" s="690" t="s">
        <v>83</v>
      </c>
    </row>
    <row r="79" spans="1:26" ht="21.75">
      <c r="A79" s="234" t="s">
        <v>193</v>
      </c>
      <c r="B79" s="235" t="s">
        <v>194</v>
      </c>
      <c r="C79" s="235" t="s">
        <v>195</v>
      </c>
      <c r="D79" s="686"/>
      <c r="E79" s="228" t="s">
        <v>196</v>
      </c>
      <c r="F79" s="228" t="s">
        <v>197</v>
      </c>
      <c r="G79" s="686"/>
      <c r="H79" s="228" t="s">
        <v>198</v>
      </c>
      <c r="I79" s="228" t="s">
        <v>199</v>
      </c>
      <c r="J79" s="236"/>
      <c r="K79" s="230" t="s">
        <v>200</v>
      </c>
      <c r="L79" s="235"/>
      <c r="M79" s="238" t="s">
        <v>201</v>
      </c>
      <c r="N79" s="238" t="s">
        <v>202</v>
      </c>
      <c r="O79" s="238" t="s">
        <v>203</v>
      </c>
      <c r="P79" s="686"/>
      <c r="Q79" s="238" t="s">
        <v>204</v>
      </c>
      <c r="R79" s="235"/>
      <c r="S79" s="238" t="s">
        <v>205</v>
      </c>
      <c r="T79" s="238" t="s">
        <v>206</v>
      </c>
      <c r="U79" s="686"/>
      <c r="V79" s="233" t="s">
        <v>386</v>
      </c>
      <c r="W79" s="236" t="s">
        <v>279</v>
      </c>
      <c r="X79" s="236"/>
      <c r="Y79" s="239" t="s">
        <v>207</v>
      </c>
      <c r="Z79" s="691"/>
    </row>
    <row r="80" spans="1:26" ht="21.75">
      <c r="A80" s="240" t="s">
        <v>249</v>
      </c>
      <c r="B80" s="253">
        <v>80072</v>
      </c>
      <c r="C80" s="253" t="s">
        <v>117</v>
      </c>
      <c r="D80" s="269"/>
      <c r="E80" s="260" t="s">
        <v>117</v>
      </c>
      <c r="F80" s="260"/>
      <c r="G80" s="270"/>
      <c r="H80" s="260" t="s">
        <v>117</v>
      </c>
      <c r="I80" s="260"/>
      <c r="J80" s="259"/>
      <c r="K80" s="242"/>
      <c r="L80" s="253"/>
      <c r="M80" s="348"/>
      <c r="N80" s="271"/>
      <c r="O80" s="271"/>
      <c r="P80" s="270"/>
      <c r="Q80" s="271"/>
      <c r="R80" s="253"/>
      <c r="S80" s="271"/>
      <c r="T80" s="271"/>
      <c r="U80" s="269"/>
      <c r="V80" s="269"/>
      <c r="W80" s="269"/>
      <c r="X80" s="269"/>
      <c r="Y80" s="269"/>
      <c r="Z80" s="349">
        <v>80072</v>
      </c>
    </row>
    <row r="81" spans="1:26" ht="21.75">
      <c r="A81" s="240" t="s">
        <v>250</v>
      </c>
      <c r="B81" s="253"/>
      <c r="C81" s="253" t="s">
        <v>313</v>
      </c>
      <c r="D81" s="269"/>
      <c r="E81" s="260"/>
      <c r="F81" s="260"/>
      <c r="G81" s="270"/>
      <c r="H81" s="260"/>
      <c r="I81" s="260"/>
      <c r="J81" s="270"/>
      <c r="K81" s="242"/>
      <c r="L81" s="253"/>
      <c r="M81" s="271" t="s">
        <v>117</v>
      </c>
      <c r="N81" s="271"/>
      <c r="O81" s="271"/>
      <c r="P81" s="270"/>
      <c r="Q81" s="271"/>
      <c r="R81" s="253"/>
      <c r="S81" s="271"/>
      <c r="T81" s="271"/>
      <c r="U81" s="269"/>
      <c r="V81" s="269"/>
      <c r="W81" s="269"/>
      <c r="X81" s="269"/>
      <c r="Y81" s="269"/>
      <c r="Z81" s="343">
        <f>+B81</f>
        <v>0</v>
      </c>
    </row>
    <row r="82" spans="1:26" ht="21.75">
      <c r="A82" s="240" t="s">
        <v>251</v>
      </c>
      <c r="B82" s="253"/>
      <c r="C82" s="253"/>
      <c r="D82" s="269"/>
      <c r="E82" s="260"/>
      <c r="F82" s="260"/>
      <c r="G82" s="270"/>
      <c r="H82" s="260"/>
      <c r="I82" s="260"/>
      <c r="J82" s="270"/>
      <c r="K82" s="242"/>
      <c r="L82" s="253"/>
      <c r="M82" s="271"/>
      <c r="N82" s="271"/>
      <c r="O82" s="271"/>
      <c r="P82" s="270"/>
      <c r="Q82" s="271"/>
      <c r="R82" s="253"/>
      <c r="S82" s="271"/>
      <c r="T82" s="271"/>
      <c r="U82" s="269"/>
      <c r="V82" s="269"/>
      <c r="W82" s="269"/>
      <c r="X82" s="269"/>
      <c r="Y82" s="269"/>
      <c r="Z82" s="484">
        <f>B82</f>
        <v>0</v>
      </c>
    </row>
    <row r="83" spans="1:26" ht="21.75">
      <c r="A83" s="240" t="s">
        <v>252</v>
      </c>
      <c r="B83" s="253"/>
      <c r="C83" s="253"/>
      <c r="D83" s="269"/>
      <c r="E83" s="260"/>
      <c r="F83" s="260"/>
      <c r="G83" s="270"/>
      <c r="H83" s="260"/>
      <c r="I83" s="260"/>
      <c r="J83" s="270"/>
      <c r="K83" s="242"/>
      <c r="L83" s="253"/>
      <c r="M83" s="271"/>
      <c r="N83" s="271"/>
      <c r="O83" s="271"/>
      <c r="P83" s="270"/>
      <c r="Q83" s="271"/>
      <c r="R83" s="253"/>
      <c r="S83" s="271"/>
      <c r="T83" s="271"/>
      <c r="U83" s="269"/>
      <c r="V83" s="269"/>
      <c r="W83" s="269"/>
      <c r="X83" s="269"/>
      <c r="Y83" s="269"/>
      <c r="Z83" s="484">
        <f>B83</f>
        <v>0</v>
      </c>
    </row>
    <row r="84" spans="1:26" ht="21.75">
      <c r="A84" s="240" t="s">
        <v>253</v>
      </c>
      <c r="B84" s="253"/>
      <c r="C84" s="253"/>
      <c r="D84" s="269"/>
      <c r="E84" s="260"/>
      <c r="F84" s="260"/>
      <c r="G84" s="270"/>
      <c r="H84" s="260"/>
      <c r="I84" s="260"/>
      <c r="J84" s="270"/>
      <c r="K84" s="242"/>
      <c r="L84" s="253"/>
      <c r="M84" s="271"/>
      <c r="N84" s="271"/>
      <c r="O84" s="271"/>
      <c r="P84" s="270"/>
      <c r="Q84" s="271"/>
      <c r="R84" s="253"/>
      <c r="S84" s="271"/>
      <c r="T84" s="271"/>
      <c r="U84" s="269"/>
      <c r="V84" s="269"/>
      <c r="W84" s="269"/>
      <c r="X84" s="269"/>
      <c r="Y84" s="269"/>
      <c r="Z84" s="484">
        <f>B84</f>
        <v>0</v>
      </c>
    </row>
    <row r="85" spans="1:26" ht="21.75">
      <c r="A85" s="240" t="s">
        <v>254</v>
      </c>
      <c r="B85" s="253"/>
      <c r="C85" s="253"/>
      <c r="D85" s="269"/>
      <c r="E85" s="260"/>
      <c r="F85" s="260"/>
      <c r="G85" s="270"/>
      <c r="H85" s="260"/>
      <c r="I85" s="260"/>
      <c r="J85" s="272"/>
      <c r="K85" s="242"/>
      <c r="L85" s="253"/>
      <c r="M85" s="271" t="s">
        <v>117</v>
      </c>
      <c r="N85" s="271"/>
      <c r="O85" s="271"/>
      <c r="P85" s="270"/>
      <c r="Q85" s="271"/>
      <c r="R85" s="253"/>
      <c r="S85" s="271"/>
      <c r="T85" s="271"/>
      <c r="U85" s="269"/>
      <c r="V85" s="269"/>
      <c r="W85" s="269"/>
      <c r="X85" s="269"/>
      <c r="Y85" s="269"/>
      <c r="Z85" s="484">
        <f>B85</f>
        <v>0</v>
      </c>
    </row>
    <row r="86" spans="1:26" ht="21.75">
      <c r="A86" s="240" t="s">
        <v>255</v>
      </c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53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484">
        <f>B86</f>
        <v>0</v>
      </c>
    </row>
    <row r="87" spans="1:26" ht="21.75">
      <c r="A87" s="240" t="s">
        <v>256</v>
      </c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484">
        <f>B87+E87</f>
        <v>0</v>
      </c>
    </row>
    <row r="88" spans="1:26" ht="21.75">
      <c r="A88" s="240" t="s">
        <v>257</v>
      </c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59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484">
        <f>B88+E88</f>
        <v>0</v>
      </c>
    </row>
    <row r="89" spans="1:26" ht="21.75">
      <c r="A89" s="240" t="s">
        <v>258</v>
      </c>
      <c r="B89" s="244"/>
      <c r="C89" s="244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60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484">
        <f>B89+E89</f>
        <v>0</v>
      </c>
    </row>
    <row r="90" spans="1:26" ht="21.75">
      <c r="A90" s="240" t="s">
        <v>259</v>
      </c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59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484">
        <f>B90+E90</f>
        <v>0</v>
      </c>
    </row>
    <row r="91" spans="1:26" ht="21.75">
      <c r="A91" s="240" t="s">
        <v>260</v>
      </c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59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484">
        <f>B91</f>
        <v>0</v>
      </c>
    </row>
    <row r="92" spans="1:26" ht="21.75">
      <c r="A92" s="240" t="s">
        <v>314</v>
      </c>
      <c r="B92" s="242">
        <v>10400</v>
      </c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59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343"/>
    </row>
    <row r="93" spans="1:26" ht="22.5" thickBot="1">
      <c r="A93" s="247" t="s">
        <v>213</v>
      </c>
      <c r="B93" s="261">
        <f>B84+B92+B81+B87+B91</f>
        <v>10400</v>
      </c>
      <c r="C93" s="261" t="str">
        <f>C81</f>
        <v>  </v>
      </c>
      <c r="D93" s="261"/>
      <c r="E93" s="483">
        <f>E87+E88+E89</f>
        <v>0</v>
      </c>
      <c r="F93" s="261"/>
      <c r="G93" s="261"/>
      <c r="H93" s="261" t="s">
        <v>117</v>
      </c>
      <c r="I93" s="261"/>
      <c r="J93" s="261"/>
      <c r="K93" s="261"/>
      <c r="L93" s="261"/>
      <c r="M93" s="483">
        <f>M92</f>
        <v>0</v>
      </c>
      <c r="N93" s="262"/>
      <c r="O93" s="261"/>
      <c r="P93" s="261"/>
      <c r="Q93" s="262"/>
      <c r="R93" s="261"/>
      <c r="S93" s="261"/>
      <c r="T93" s="261"/>
      <c r="U93" s="261"/>
      <c r="V93" s="261"/>
      <c r="W93" s="261"/>
      <c r="X93" s="261"/>
      <c r="Y93" s="261"/>
      <c r="Z93" s="343">
        <f>B92+Z81</f>
        <v>10400</v>
      </c>
    </row>
    <row r="94" spans="1:27" ht="22.5" thickBot="1">
      <c r="A94" s="252" t="s">
        <v>214</v>
      </c>
      <c r="B94" s="248">
        <f>B93+B80</f>
        <v>90472</v>
      </c>
      <c r="C94" s="248" t="s">
        <v>117</v>
      </c>
      <c r="D94" s="248"/>
      <c r="E94" s="477">
        <f>E93</f>
        <v>0</v>
      </c>
      <c r="F94" s="248"/>
      <c r="G94" s="248"/>
      <c r="H94" s="248" t="s">
        <v>117</v>
      </c>
      <c r="I94" s="248"/>
      <c r="J94" s="248"/>
      <c r="K94" s="248"/>
      <c r="L94" s="248"/>
      <c r="M94" s="248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350">
        <f>+Z80+Z93</f>
        <v>90472</v>
      </c>
      <c r="AA94" s="46">
        <f>Z94-(งบทดลอง1!F32+งบทดลอง1!F33)</f>
        <v>0</v>
      </c>
    </row>
    <row r="95" spans="1:26" ht="22.5" thickBot="1">
      <c r="A95" s="240" t="s">
        <v>261</v>
      </c>
      <c r="B95" s="253" t="s">
        <v>117</v>
      </c>
      <c r="C95" s="253" t="s">
        <v>117</v>
      </c>
      <c r="D95" s="253"/>
      <c r="E95" s="253"/>
      <c r="F95" s="253"/>
      <c r="G95" s="253"/>
      <c r="H95" s="253"/>
      <c r="I95" s="253"/>
      <c r="J95" s="253"/>
      <c r="K95" s="253"/>
      <c r="L95" s="253"/>
      <c r="M95" s="253"/>
      <c r="N95" s="253">
        <v>0</v>
      </c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331">
        <f>+N95</f>
        <v>0</v>
      </c>
    </row>
    <row r="96" spans="1:26" ht="22.5" thickBot="1">
      <c r="A96" s="247" t="s">
        <v>213</v>
      </c>
      <c r="B96" s="251" t="s">
        <v>117</v>
      </c>
      <c r="C96" s="251"/>
      <c r="D96" s="248"/>
      <c r="E96" s="248"/>
      <c r="F96" s="248"/>
      <c r="G96" s="248"/>
      <c r="H96" s="248"/>
      <c r="I96" s="251"/>
      <c r="J96" s="251"/>
      <c r="K96" s="248"/>
      <c r="L96" s="248"/>
      <c r="M96" s="248"/>
      <c r="N96" s="253">
        <v>0</v>
      </c>
      <c r="O96" s="248"/>
      <c r="P96" s="248"/>
      <c r="Q96" s="251"/>
      <c r="R96" s="251"/>
      <c r="S96" s="248"/>
      <c r="T96" s="248"/>
      <c r="U96" s="248"/>
      <c r="V96" s="248"/>
      <c r="W96" s="248"/>
      <c r="X96" s="248"/>
      <c r="Y96" s="248"/>
      <c r="Z96" s="340">
        <f>Z95</f>
        <v>0</v>
      </c>
    </row>
    <row r="97" spans="1:27" ht="22.5" thickBot="1">
      <c r="A97" s="252" t="s">
        <v>214</v>
      </c>
      <c r="B97" s="248" t="s">
        <v>117</v>
      </c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>
        <v>60700</v>
      </c>
      <c r="N97" s="248">
        <v>306400</v>
      </c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336">
        <f>M97+N97</f>
        <v>367100</v>
      </c>
      <c r="AA97" s="296">
        <f>Z97-(งบทดลอง1!F36+งบทดลอง1!F37)</f>
        <v>0</v>
      </c>
    </row>
    <row r="98" spans="1:26" ht="21.75">
      <c r="A98" s="240" t="s">
        <v>262</v>
      </c>
      <c r="B98" s="253"/>
      <c r="C98" s="253"/>
      <c r="D98" s="253"/>
      <c r="E98" s="253"/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64">
        <v>24580</v>
      </c>
      <c r="R98" s="253"/>
      <c r="S98" s="253"/>
      <c r="T98" s="253"/>
      <c r="U98" s="253"/>
      <c r="V98" s="253"/>
      <c r="W98" s="253"/>
      <c r="X98" s="253"/>
      <c r="Y98" s="253"/>
      <c r="Z98" s="340">
        <v>24580</v>
      </c>
    </row>
    <row r="99" spans="1:26" ht="21.75">
      <c r="A99" s="297" t="s">
        <v>289</v>
      </c>
      <c r="B99" s="253"/>
      <c r="C99" s="253"/>
      <c r="D99" s="253"/>
      <c r="E99" s="253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4"/>
      <c r="Z99" s="344"/>
    </row>
    <row r="100" spans="1:26" ht="21.75">
      <c r="A100" s="297" t="s">
        <v>315</v>
      </c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44"/>
      <c r="Z100" s="329"/>
    </row>
    <row r="101" spans="1:26" ht="21.75">
      <c r="A101" s="312" t="s">
        <v>316</v>
      </c>
      <c r="B101" s="253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329"/>
    </row>
    <row r="102" spans="1:26" ht="22.5" thickBot="1">
      <c r="A102" s="312" t="s">
        <v>320</v>
      </c>
      <c r="B102" s="254"/>
      <c r="C102" s="254"/>
      <c r="D102" s="254"/>
      <c r="E102" s="254"/>
      <c r="F102" s="254"/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>
        <v>4620</v>
      </c>
      <c r="R102" s="254"/>
      <c r="S102" s="254"/>
      <c r="T102" s="254"/>
      <c r="U102" s="254"/>
      <c r="V102" s="254"/>
      <c r="W102" s="254"/>
      <c r="X102" s="254"/>
      <c r="Y102" s="262"/>
      <c r="Z102" s="344">
        <f>+O102+Q102+S102+T102+V102+W102</f>
        <v>4620</v>
      </c>
    </row>
    <row r="103" spans="1:26" ht="22.5" thickBot="1">
      <c r="A103" s="247" t="s">
        <v>213</v>
      </c>
      <c r="B103" s="251"/>
      <c r="C103" s="251"/>
      <c r="D103" s="248"/>
      <c r="E103" s="251"/>
      <c r="F103" s="251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51">
        <f>SUM(Q99:Q102)</f>
        <v>4620</v>
      </c>
      <c r="R103" s="251"/>
      <c r="S103" s="248"/>
      <c r="T103" s="251"/>
      <c r="U103" s="248"/>
      <c r="V103" s="248"/>
      <c r="W103" s="248"/>
      <c r="X103" s="248"/>
      <c r="Y103" s="262"/>
      <c r="Z103" s="331">
        <f>SUM(Z102)</f>
        <v>4620</v>
      </c>
    </row>
    <row r="104" spans="1:27" ht="22.5" thickBot="1">
      <c r="A104" s="258" t="s">
        <v>214</v>
      </c>
      <c r="B104" s="251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8">
        <f>+Q98+Q103</f>
        <v>29200</v>
      </c>
      <c r="R104" s="248"/>
      <c r="S104" s="248"/>
      <c r="T104" s="248"/>
      <c r="U104" s="248"/>
      <c r="V104" s="248"/>
      <c r="W104" s="248"/>
      <c r="X104" s="248"/>
      <c r="Y104" s="251"/>
      <c r="Z104" s="331">
        <f>Z103+Z98</f>
        <v>29200</v>
      </c>
      <c r="AA104" s="296">
        <f>Z104-(งบทดลอง1!F34+งบทดลอง1!F35)</f>
        <v>0</v>
      </c>
    </row>
    <row r="105" spans="1:26" ht="21.75">
      <c r="A105" s="240" t="s">
        <v>263</v>
      </c>
      <c r="B105" s="253"/>
      <c r="C105" s="253"/>
      <c r="D105" s="253"/>
      <c r="E105" s="253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322">
        <v>537578.52</v>
      </c>
      <c r="Z105" s="340">
        <v>402295.2</v>
      </c>
    </row>
    <row r="106" spans="1:26" ht="21.75">
      <c r="A106" s="240" t="s">
        <v>264</v>
      </c>
      <c r="B106" s="253"/>
      <c r="C106" s="253"/>
      <c r="D106" s="253"/>
      <c r="E106" s="253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340">
        <v>7394</v>
      </c>
      <c r="Z106" s="340">
        <f>Y106</f>
        <v>7394</v>
      </c>
    </row>
    <row r="107" spans="1:26" ht="21.75">
      <c r="A107" s="240" t="s">
        <v>265</v>
      </c>
      <c r="B107" s="253"/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340">
        <v>0</v>
      </c>
      <c r="Z107" s="340">
        <v>0</v>
      </c>
    </row>
    <row r="108" spans="1:26" ht="21.75">
      <c r="A108" s="240" t="s">
        <v>266</v>
      </c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329">
        <v>0</v>
      </c>
      <c r="Z108" s="340">
        <f>Y108</f>
        <v>0</v>
      </c>
    </row>
    <row r="109" spans="1:27" ht="21.75">
      <c r="A109" s="288" t="s">
        <v>510</v>
      </c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329">
        <v>2389.32</v>
      </c>
      <c r="Z109" s="329">
        <v>2389.32</v>
      </c>
      <c r="AA109" s="548"/>
    </row>
    <row r="110" spans="1:26" ht="22.5" thickBot="1">
      <c r="A110" s="288" t="s">
        <v>281</v>
      </c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329">
        <v>31000</v>
      </c>
      <c r="Z110" s="340">
        <f>Y110</f>
        <v>31000</v>
      </c>
    </row>
    <row r="111" spans="1:26" ht="22.5" thickBot="1">
      <c r="A111" s="247" t="s">
        <v>213</v>
      </c>
      <c r="B111" s="251"/>
      <c r="C111" s="251"/>
      <c r="D111" s="248"/>
      <c r="E111" s="251"/>
      <c r="F111" s="248"/>
      <c r="G111" s="248"/>
      <c r="H111" s="248"/>
      <c r="I111" s="248"/>
      <c r="J111" s="248"/>
      <c r="K111" s="248"/>
      <c r="L111" s="248"/>
      <c r="M111" s="248"/>
      <c r="N111" s="248"/>
      <c r="O111" s="248"/>
      <c r="P111" s="248"/>
      <c r="Q111" s="251"/>
      <c r="R111" s="251"/>
      <c r="S111" s="248"/>
      <c r="T111" s="251"/>
      <c r="U111" s="248"/>
      <c r="V111" s="248"/>
      <c r="W111" s="248"/>
      <c r="X111" s="248"/>
      <c r="Y111" s="336">
        <f>Y106+Y107+Y108+Y109+Y110</f>
        <v>40783.32</v>
      </c>
      <c r="Z111" s="336">
        <f>Z106+Z107+Z108+Z109+Z110</f>
        <v>40783.32</v>
      </c>
    </row>
    <row r="112" spans="1:27" ht="22.5" thickBot="1">
      <c r="A112" s="252" t="s">
        <v>214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336">
        <f>Y111+Y105</f>
        <v>578361.84</v>
      </c>
      <c r="Z112" s="336">
        <f>Y112+B112</f>
        <v>578361.84</v>
      </c>
      <c r="AA112" s="296">
        <f>Z112-(งบทดลอง1!F18+งบทดลอง1!F19)</f>
        <v>0</v>
      </c>
    </row>
    <row r="113" spans="1:26" ht="21.75">
      <c r="A113" s="273"/>
      <c r="B113" s="274"/>
      <c r="C113" s="318"/>
      <c r="D113" s="274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345"/>
    </row>
    <row r="114" spans="1:26" ht="21.75">
      <c r="A114" s="273"/>
      <c r="B114" s="274"/>
      <c r="C114" s="318"/>
      <c r="D114" s="274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  <c r="X114" s="274"/>
      <c r="Y114" s="274"/>
      <c r="Z114" s="345"/>
    </row>
    <row r="115" spans="1:26" ht="23.25">
      <c r="A115" s="275"/>
      <c r="B115" s="275"/>
      <c r="C115" s="319"/>
      <c r="D115" s="30"/>
      <c r="E115" s="275"/>
      <c r="F115" s="275"/>
      <c r="G115" s="31"/>
      <c r="H115" s="276"/>
      <c r="I115" s="1"/>
      <c r="J115" s="14"/>
      <c r="K115" s="1"/>
      <c r="L115" s="14"/>
      <c r="M115" s="1"/>
      <c r="N115" s="1"/>
      <c r="O115" s="1"/>
      <c r="P115" s="14"/>
      <c r="Q115" s="1"/>
      <c r="R115" s="14"/>
      <c r="S115" s="1"/>
      <c r="T115" s="1"/>
      <c r="U115" s="14"/>
      <c r="V115" s="14"/>
      <c r="W115" s="14"/>
      <c r="X115" s="14"/>
      <c r="Y115" s="1"/>
      <c r="Z115" s="346"/>
    </row>
    <row r="116" spans="1:26" ht="23.25">
      <c r="A116" s="275"/>
      <c r="B116" s="275"/>
      <c r="C116" s="319"/>
      <c r="D116" s="30"/>
      <c r="E116" s="275"/>
      <c r="F116" s="275"/>
      <c r="G116" s="31"/>
      <c r="H116" s="276"/>
      <c r="I116" s="1"/>
      <c r="J116" s="14"/>
      <c r="K116" s="1"/>
      <c r="L116" s="14"/>
      <c r="M116" s="1"/>
      <c r="N116" s="1"/>
      <c r="O116" s="1"/>
      <c r="P116" s="14"/>
      <c r="Q116" s="1"/>
      <c r="R116" s="14"/>
      <c r="S116" s="1"/>
      <c r="T116" s="1"/>
      <c r="U116" s="14"/>
      <c r="V116" s="14"/>
      <c r="W116" s="14"/>
      <c r="X116" s="14"/>
      <c r="Y116" s="1"/>
      <c r="Z116" s="346"/>
    </row>
  </sheetData>
  <sheetProtection/>
  <mergeCells count="37">
    <mergeCell ref="V78:W78"/>
    <mergeCell ref="Z78:Z79"/>
    <mergeCell ref="A77:Z77"/>
    <mergeCell ref="B78:C78"/>
    <mergeCell ref="D78:D79"/>
    <mergeCell ref="E78:F78"/>
    <mergeCell ref="G78:G79"/>
    <mergeCell ref="H78:I78"/>
    <mergeCell ref="M78:O78"/>
    <mergeCell ref="P78:P79"/>
    <mergeCell ref="S78:T78"/>
    <mergeCell ref="U78:U79"/>
    <mergeCell ref="M42:O42"/>
    <mergeCell ref="A1:Z1"/>
    <mergeCell ref="A2:Z2"/>
    <mergeCell ref="A3:Z3"/>
    <mergeCell ref="U5:U6"/>
    <mergeCell ref="Z5:Z6"/>
    <mergeCell ref="B5:C5"/>
    <mergeCell ref="D5:D6"/>
    <mergeCell ref="G5:G6"/>
    <mergeCell ref="A40:Z40"/>
    <mergeCell ref="H5:I5"/>
    <mergeCell ref="M5:O5"/>
    <mergeCell ref="P5:P6"/>
    <mergeCell ref="V5:W5"/>
    <mergeCell ref="E5:F5"/>
    <mergeCell ref="Z42:Z43"/>
    <mergeCell ref="V42:W42"/>
    <mergeCell ref="S42:T42"/>
    <mergeCell ref="B42:C42"/>
    <mergeCell ref="D42:D43"/>
    <mergeCell ref="H42:I42"/>
    <mergeCell ref="P42:P43"/>
    <mergeCell ref="E42:F42"/>
    <mergeCell ref="G42:G43"/>
    <mergeCell ref="U42:U43"/>
  </mergeCells>
  <printOptions/>
  <pageMargins left="0.29" right="0.14" top="0.25" bottom="0.35" header="0.16" footer="0.18"/>
  <pageSetup horizontalDpi="600" verticalDpi="600" orientation="landscape" paperSize="5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370"/>
  <sheetViews>
    <sheetView view="pageBreakPreview" zoomScaleSheetLayoutView="100" workbookViewId="0" topLeftCell="A330">
      <selection activeCell="H362" sqref="H362"/>
    </sheetView>
  </sheetViews>
  <sheetFormatPr defaultColWidth="9.140625" defaultRowHeight="21.75"/>
  <cols>
    <col min="1" max="1" width="69.140625" style="13" customWidth="1"/>
    <col min="2" max="2" width="8.8515625" style="13" customWidth="1"/>
    <col min="3" max="3" width="11.421875" style="13" customWidth="1"/>
    <col min="4" max="4" width="4.00390625" style="13" customWidth="1"/>
    <col min="5" max="5" width="11.28125" style="13" customWidth="1"/>
    <col min="6" max="6" width="4.00390625" style="13" customWidth="1"/>
    <col min="7" max="16384" width="9.140625" style="13" customWidth="1"/>
  </cols>
  <sheetData>
    <row r="1" spans="1:6" ht="22.5">
      <c r="A1" s="695" t="s">
        <v>533</v>
      </c>
      <c r="B1" s="695"/>
      <c r="C1" s="695"/>
      <c r="D1" s="695"/>
      <c r="E1" s="695"/>
      <c r="F1" s="695"/>
    </row>
    <row r="2" spans="1:6" ht="22.5">
      <c r="A2" s="695" t="s">
        <v>584</v>
      </c>
      <c r="B2" s="695"/>
      <c r="C2" s="695"/>
      <c r="D2" s="695"/>
      <c r="E2" s="695"/>
      <c r="F2" s="695"/>
    </row>
    <row r="3" spans="1:6" ht="22.5">
      <c r="A3" s="696" t="s">
        <v>330</v>
      </c>
      <c r="B3" s="696"/>
      <c r="C3" s="696"/>
      <c r="D3" s="696"/>
      <c r="E3" s="696"/>
      <c r="F3" s="696"/>
    </row>
    <row r="4" spans="1:6" ht="22.5">
      <c r="A4" s="371" t="s">
        <v>322</v>
      </c>
      <c r="B4" s="371"/>
      <c r="C4" s="371"/>
      <c r="D4" s="371"/>
      <c r="E4" s="371"/>
      <c r="F4" s="371"/>
    </row>
    <row r="5" spans="1:6" ht="22.5">
      <c r="A5" s="372" t="s">
        <v>35</v>
      </c>
      <c r="B5" s="373" t="s">
        <v>34</v>
      </c>
      <c r="C5" s="697" t="s">
        <v>323</v>
      </c>
      <c r="D5" s="698"/>
      <c r="E5" s="699" t="s">
        <v>37</v>
      </c>
      <c r="F5" s="698"/>
    </row>
    <row r="6" spans="1:6" ht="22.5">
      <c r="A6" s="374" t="s">
        <v>43</v>
      </c>
      <c r="B6" s="375"/>
      <c r="C6" s="376">
        <v>1200</v>
      </c>
      <c r="D6" s="377" t="s">
        <v>52</v>
      </c>
      <c r="E6" s="378"/>
      <c r="F6" s="379"/>
    </row>
    <row r="7" spans="1:6" ht="22.5">
      <c r="A7" s="380" t="s">
        <v>543</v>
      </c>
      <c r="B7" s="381"/>
      <c r="C7" s="382"/>
      <c r="D7" s="383"/>
      <c r="E7" s="384">
        <f>C6</f>
        <v>1200</v>
      </c>
      <c r="F7" s="381" t="s">
        <v>52</v>
      </c>
    </row>
    <row r="8" spans="1:6" ht="22.5">
      <c r="A8" s="374"/>
      <c r="B8" s="381"/>
      <c r="C8" s="382"/>
      <c r="D8" s="383"/>
      <c r="E8" s="385"/>
      <c r="F8" s="386"/>
    </row>
    <row r="9" spans="1:6" ht="22.5">
      <c r="A9" s="374"/>
      <c r="B9" s="381"/>
      <c r="C9" s="385"/>
      <c r="D9" s="383"/>
      <c r="E9" s="385"/>
      <c r="F9" s="386"/>
    </row>
    <row r="10" spans="1:6" ht="22.5">
      <c r="A10" s="374"/>
      <c r="B10" s="381"/>
      <c r="C10" s="385"/>
      <c r="D10" s="383"/>
      <c r="E10" s="385"/>
      <c r="F10" s="386"/>
    </row>
    <row r="11" spans="1:6" ht="22.5">
      <c r="A11" s="374"/>
      <c r="B11" s="381"/>
      <c r="C11" s="385"/>
      <c r="D11" s="383"/>
      <c r="E11" s="385"/>
      <c r="F11" s="386"/>
    </row>
    <row r="12" spans="1:6" ht="22.5">
      <c r="A12" s="387"/>
      <c r="B12" s="381"/>
      <c r="C12" s="382"/>
      <c r="D12" s="383"/>
      <c r="E12" s="385"/>
      <c r="F12" s="386"/>
    </row>
    <row r="13" spans="1:6" ht="22.5">
      <c r="A13" s="374"/>
      <c r="B13" s="381"/>
      <c r="C13" s="382"/>
      <c r="D13" s="383"/>
      <c r="E13" s="385"/>
      <c r="F13" s="386"/>
    </row>
    <row r="14" spans="1:6" ht="22.5">
      <c r="A14" s="374"/>
      <c r="B14" s="381"/>
      <c r="C14" s="374"/>
      <c r="D14" s="383"/>
      <c r="E14" s="382"/>
      <c r="F14" s="386"/>
    </row>
    <row r="15" spans="1:6" ht="22.5">
      <c r="A15" s="388"/>
      <c r="B15" s="389"/>
      <c r="C15" s="390"/>
      <c r="D15" s="391"/>
      <c r="E15" s="392"/>
      <c r="F15" s="391"/>
    </row>
    <row r="16" spans="1:6" ht="22.5">
      <c r="A16" s="393" t="s">
        <v>331</v>
      </c>
      <c r="B16" s="394"/>
      <c r="C16" s="395"/>
      <c r="D16" s="383"/>
      <c r="E16" s="396"/>
      <c r="F16" s="386"/>
    </row>
    <row r="17" spans="1:6" ht="22.5">
      <c r="A17" s="692" t="s">
        <v>588</v>
      </c>
      <c r="B17" s="693"/>
      <c r="C17" s="693"/>
      <c r="D17" s="693"/>
      <c r="E17" s="693"/>
      <c r="F17" s="694"/>
    </row>
    <row r="18" spans="1:6" ht="22.5">
      <c r="A18" s="397" t="s">
        <v>586</v>
      </c>
      <c r="B18" s="394"/>
      <c r="C18" s="395"/>
      <c r="D18" s="383"/>
      <c r="E18" s="396"/>
      <c r="F18" s="386"/>
    </row>
    <row r="19" spans="1:6" ht="22.5">
      <c r="A19" s="398"/>
      <c r="B19" s="399"/>
      <c r="C19" s="395"/>
      <c r="D19" s="383"/>
      <c r="E19" s="396"/>
      <c r="F19" s="386"/>
    </row>
    <row r="20" spans="1:6" ht="22.5">
      <c r="A20" s="400"/>
      <c r="B20" s="394"/>
      <c r="C20" s="395"/>
      <c r="D20" s="383"/>
      <c r="E20" s="396"/>
      <c r="F20" s="386"/>
    </row>
    <row r="21" spans="1:6" ht="22.5">
      <c r="A21" s="397" t="s">
        <v>332</v>
      </c>
      <c r="B21" s="395"/>
      <c r="C21" s="395"/>
      <c r="D21" s="383"/>
      <c r="E21" s="395"/>
      <c r="F21" s="379"/>
    </row>
    <row r="22" spans="1:6" ht="22.5">
      <c r="A22" s="397"/>
      <c r="B22" s="395"/>
      <c r="C22" s="395"/>
      <c r="D22" s="383"/>
      <c r="E22" s="395"/>
      <c r="F22" s="379"/>
    </row>
    <row r="23" spans="1:6" ht="22.5">
      <c r="A23" s="692"/>
      <c r="B23" s="693"/>
      <c r="C23" s="693"/>
      <c r="D23" s="693"/>
      <c r="E23" s="693"/>
      <c r="F23" s="694"/>
    </row>
    <row r="24" spans="1:6" ht="22.5">
      <c r="A24" s="397"/>
      <c r="B24" s="394"/>
      <c r="C24" s="395"/>
      <c r="D24" s="383"/>
      <c r="E24" s="396"/>
      <c r="F24" s="386"/>
    </row>
    <row r="25" spans="1:6" ht="22.5">
      <c r="A25" s="388"/>
      <c r="B25" s="401"/>
      <c r="C25" s="401"/>
      <c r="D25" s="401"/>
      <c r="E25" s="401"/>
      <c r="F25" s="402"/>
    </row>
    <row r="39" spans="1:6" ht="22.5">
      <c r="A39" s="695" t="s">
        <v>533</v>
      </c>
      <c r="B39" s="695"/>
      <c r="C39" s="695"/>
      <c r="D39" s="695"/>
      <c r="E39" s="695"/>
      <c r="F39" s="695"/>
    </row>
    <row r="40" spans="1:6" ht="22.5">
      <c r="A40" s="695" t="s">
        <v>584</v>
      </c>
      <c r="B40" s="695"/>
      <c r="C40" s="695"/>
      <c r="D40" s="695"/>
      <c r="E40" s="695"/>
      <c r="F40" s="695"/>
    </row>
    <row r="41" spans="1:6" ht="22.5">
      <c r="A41" s="696" t="s">
        <v>330</v>
      </c>
      <c r="B41" s="696"/>
      <c r="C41" s="696"/>
      <c r="D41" s="696"/>
      <c r="E41" s="696"/>
      <c r="F41" s="696"/>
    </row>
    <row r="42" spans="1:6" ht="22.5">
      <c r="A42" s="371" t="s">
        <v>322</v>
      </c>
      <c r="B42" s="371"/>
      <c r="C42" s="371"/>
      <c r="D42" s="371"/>
      <c r="E42" s="371"/>
      <c r="F42" s="371"/>
    </row>
    <row r="43" spans="1:6" ht="22.5">
      <c r="A43" s="372" t="s">
        <v>35</v>
      </c>
      <c r="B43" s="373" t="s">
        <v>34</v>
      </c>
      <c r="C43" s="697" t="s">
        <v>323</v>
      </c>
      <c r="D43" s="698"/>
      <c r="E43" s="699" t="s">
        <v>37</v>
      </c>
      <c r="F43" s="698"/>
    </row>
    <row r="44" spans="1:6" ht="22.5">
      <c r="A44" s="374" t="s">
        <v>43</v>
      </c>
      <c r="B44" s="375"/>
      <c r="C44" s="376">
        <v>1532</v>
      </c>
      <c r="D44" s="377" t="s">
        <v>52</v>
      </c>
      <c r="E44" s="378"/>
      <c r="F44" s="379"/>
    </row>
    <row r="45" spans="1:6" ht="22.5">
      <c r="A45" s="380" t="s">
        <v>543</v>
      </c>
      <c r="B45" s="381"/>
      <c r="C45" s="382"/>
      <c r="D45" s="383"/>
      <c r="E45" s="384">
        <f>C44</f>
        <v>1532</v>
      </c>
      <c r="F45" s="381" t="s">
        <v>52</v>
      </c>
    </row>
    <row r="46" spans="1:6" ht="22.5">
      <c r="A46" s="374"/>
      <c r="B46" s="381"/>
      <c r="C46" s="382"/>
      <c r="D46" s="383"/>
      <c r="E46" s="385"/>
      <c r="F46" s="386"/>
    </row>
    <row r="47" spans="1:6" ht="22.5">
      <c r="A47" s="374"/>
      <c r="B47" s="381"/>
      <c r="C47" s="385"/>
      <c r="D47" s="383"/>
      <c r="E47" s="385"/>
      <c r="F47" s="386"/>
    </row>
    <row r="48" spans="1:6" ht="22.5">
      <c r="A48" s="374"/>
      <c r="B48" s="381"/>
      <c r="C48" s="385"/>
      <c r="D48" s="383"/>
      <c r="E48" s="385"/>
      <c r="F48" s="386"/>
    </row>
    <row r="49" spans="1:6" ht="22.5">
      <c r="A49" s="374"/>
      <c r="B49" s="381"/>
      <c r="C49" s="385"/>
      <c r="D49" s="383"/>
      <c r="E49" s="385"/>
      <c r="F49" s="386"/>
    </row>
    <row r="50" spans="1:6" ht="22.5">
      <c r="A50" s="387"/>
      <c r="B50" s="381"/>
      <c r="C50" s="382"/>
      <c r="D50" s="383"/>
      <c r="E50" s="385"/>
      <c r="F50" s="386"/>
    </row>
    <row r="51" spans="1:6" ht="22.5">
      <c r="A51" s="374"/>
      <c r="B51" s="381"/>
      <c r="C51" s="382"/>
      <c r="D51" s="383"/>
      <c r="E51" s="385"/>
      <c r="F51" s="386"/>
    </row>
    <row r="52" spans="1:6" ht="22.5">
      <c r="A52" s="374"/>
      <c r="B52" s="381"/>
      <c r="C52" s="374"/>
      <c r="D52" s="383"/>
      <c r="E52" s="382"/>
      <c r="F52" s="386"/>
    </row>
    <row r="53" spans="1:6" ht="22.5">
      <c r="A53" s="388"/>
      <c r="B53" s="389"/>
      <c r="C53" s="390"/>
      <c r="D53" s="391"/>
      <c r="E53" s="392"/>
      <c r="F53" s="391"/>
    </row>
    <row r="54" spans="1:6" ht="22.5">
      <c r="A54" s="393" t="s">
        <v>331</v>
      </c>
      <c r="B54" s="394"/>
      <c r="C54" s="395"/>
      <c r="D54" s="383"/>
      <c r="E54" s="396"/>
      <c r="F54" s="386"/>
    </row>
    <row r="55" spans="1:6" ht="22.5">
      <c r="A55" s="692" t="s">
        <v>589</v>
      </c>
      <c r="B55" s="693"/>
      <c r="C55" s="693"/>
      <c r="D55" s="693"/>
      <c r="E55" s="693"/>
      <c r="F55" s="694"/>
    </row>
    <row r="56" spans="1:6" ht="22.5">
      <c r="A56" s="397" t="s">
        <v>585</v>
      </c>
      <c r="B56" s="394"/>
      <c r="C56" s="395"/>
      <c r="D56" s="383"/>
      <c r="E56" s="396"/>
      <c r="F56" s="386"/>
    </row>
    <row r="57" spans="1:6" ht="22.5">
      <c r="A57" s="398"/>
      <c r="B57" s="399"/>
      <c r="C57" s="395"/>
      <c r="D57" s="383"/>
      <c r="E57" s="396"/>
      <c r="F57" s="386"/>
    </row>
    <row r="58" spans="1:6" ht="22.5">
      <c r="A58" s="400"/>
      <c r="B58" s="394"/>
      <c r="C58" s="395"/>
      <c r="D58" s="383"/>
      <c r="E58" s="396"/>
      <c r="F58" s="386"/>
    </row>
    <row r="59" spans="1:6" ht="22.5">
      <c r="A59" s="397" t="s">
        <v>332</v>
      </c>
      <c r="B59" s="395"/>
      <c r="C59" s="395"/>
      <c r="D59" s="383"/>
      <c r="E59" s="395"/>
      <c r="F59" s="379"/>
    </row>
    <row r="60" spans="1:6" ht="22.5">
      <c r="A60" s="397"/>
      <c r="B60" s="395"/>
      <c r="C60" s="395"/>
      <c r="D60" s="383"/>
      <c r="E60" s="395"/>
      <c r="F60" s="379"/>
    </row>
    <row r="61" spans="1:6" ht="22.5">
      <c r="A61" s="692"/>
      <c r="B61" s="693"/>
      <c r="C61" s="693"/>
      <c r="D61" s="693"/>
      <c r="E61" s="693"/>
      <c r="F61" s="694"/>
    </row>
    <row r="62" spans="1:6" ht="22.5">
      <c r="A62" s="397"/>
      <c r="B62" s="394"/>
      <c r="C62" s="395"/>
      <c r="D62" s="383"/>
      <c r="E62" s="396"/>
      <c r="F62" s="386"/>
    </row>
    <row r="63" spans="1:6" ht="22.5">
      <c r="A63" s="388"/>
      <c r="B63" s="401"/>
      <c r="C63" s="401"/>
      <c r="D63" s="401"/>
      <c r="E63" s="401"/>
      <c r="F63" s="402"/>
    </row>
    <row r="64" spans="1:6" ht="22.5">
      <c r="A64" s="692"/>
      <c r="B64" s="693"/>
      <c r="C64" s="693"/>
      <c r="D64" s="693"/>
      <c r="E64" s="693"/>
      <c r="F64" s="694"/>
    </row>
    <row r="65" spans="1:6" ht="22.5">
      <c r="A65" s="397"/>
      <c r="B65" s="394"/>
      <c r="C65" s="395"/>
      <c r="D65" s="383"/>
      <c r="E65" s="396"/>
      <c r="F65" s="386"/>
    </row>
    <row r="66" spans="1:6" ht="22.5">
      <c r="A66" s="388"/>
      <c r="B66" s="401"/>
      <c r="C66" s="401"/>
      <c r="D66" s="401"/>
      <c r="E66" s="401"/>
      <c r="F66" s="402"/>
    </row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spans="1:6" ht="22.5">
      <c r="A77" s="695" t="s">
        <v>533</v>
      </c>
      <c r="B77" s="695"/>
      <c r="C77" s="695"/>
      <c r="D77" s="695"/>
      <c r="E77" s="695"/>
      <c r="F77" s="695"/>
    </row>
    <row r="78" spans="1:6" ht="22.5">
      <c r="A78" s="695" t="s">
        <v>587</v>
      </c>
      <c r="B78" s="695"/>
      <c r="C78" s="695"/>
      <c r="D78" s="695"/>
      <c r="E78" s="695"/>
      <c r="F78" s="695"/>
    </row>
    <row r="79" spans="1:6" ht="22.5">
      <c r="A79" s="696" t="s">
        <v>330</v>
      </c>
      <c r="B79" s="696"/>
      <c r="C79" s="696"/>
      <c r="D79" s="696"/>
      <c r="E79" s="696"/>
      <c r="F79" s="696"/>
    </row>
    <row r="80" spans="1:6" ht="22.5">
      <c r="A80" s="371" t="s">
        <v>322</v>
      </c>
      <c r="B80" s="371"/>
      <c r="C80" s="371"/>
      <c r="D80" s="371"/>
      <c r="E80" s="371"/>
      <c r="F80" s="371"/>
    </row>
    <row r="81" spans="1:6" ht="22.5">
      <c r="A81" s="372" t="s">
        <v>35</v>
      </c>
      <c r="B81" s="373" t="s">
        <v>34</v>
      </c>
      <c r="C81" s="697" t="s">
        <v>323</v>
      </c>
      <c r="D81" s="698"/>
      <c r="E81" s="697" t="s">
        <v>37</v>
      </c>
      <c r="F81" s="698"/>
    </row>
    <row r="82" spans="1:6" ht="22.5">
      <c r="A82" s="374" t="s">
        <v>43</v>
      </c>
      <c r="B82" s="375"/>
      <c r="C82" s="376">
        <v>12600</v>
      </c>
      <c r="D82" s="377" t="s">
        <v>52</v>
      </c>
      <c r="E82" s="378"/>
      <c r="F82" s="379"/>
    </row>
    <row r="83" spans="1:6" ht="22.5">
      <c r="A83" s="380" t="s">
        <v>543</v>
      </c>
      <c r="B83" s="381"/>
      <c r="C83" s="382"/>
      <c r="D83" s="383"/>
      <c r="E83" s="384">
        <f>C82</f>
        <v>12600</v>
      </c>
      <c r="F83" s="381" t="s">
        <v>52</v>
      </c>
    </row>
    <row r="84" spans="1:6" ht="22.5">
      <c r="A84" s="374"/>
      <c r="B84" s="381"/>
      <c r="C84" s="382"/>
      <c r="D84" s="383"/>
      <c r="E84" s="385"/>
      <c r="F84" s="386"/>
    </row>
    <row r="85" spans="1:6" ht="22.5">
      <c r="A85" s="374"/>
      <c r="B85" s="381"/>
      <c r="C85" s="385"/>
      <c r="D85" s="383"/>
      <c r="E85" s="385"/>
      <c r="F85" s="386"/>
    </row>
    <row r="86" spans="1:6" ht="22.5">
      <c r="A86" s="374"/>
      <c r="B86" s="381"/>
      <c r="C86" s="385"/>
      <c r="D86" s="383"/>
      <c r="E86" s="385"/>
      <c r="F86" s="386"/>
    </row>
    <row r="87" spans="1:6" ht="22.5">
      <c r="A87" s="374"/>
      <c r="B87" s="381"/>
      <c r="C87" s="385"/>
      <c r="D87" s="383"/>
      <c r="E87" s="385"/>
      <c r="F87" s="386"/>
    </row>
    <row r="88" spans="1:6" ht="22.5">
      <c r="A88" s="387"/>
      <c r="B88" s="381"/>
      <c r="C88" s="382"/>
      <c r="D88" s="383"/>
      <c r="E88" s="385"/>
      <c r="F88" s="386"/>
    </row>
    <row r="89" spans="1:6" ht="22.5">
      <c r="A89" s="374"/>
      <c r="B89" s="381"/>
      <c r="C89" s="382"/>
      <c r="D89" s="383"/>
      <c r="E89" s="385"/>
      <c r="F89" s="386"/>
    </row>
    <row r="90" spans="1:6" ht="22.5">
      <c r="A90" s="374"/>
      <c r="B90" s="381"/>
      <c r="C90" s="374"/>
      <c r="D90" s="383"/>
      <c r="E90" s="382"/>
      <c r="F90" s="386"/>
    </row>
    <row r="91" spans="1:6" ht="22.5">
      <c r="A91" s="388"/>
      <c r="B91" s="389"/>
      <c r="C91" s="390"/>
      <c r="D91" s="391"/>
      <c r="E91" s="392"/>
      <c r="F91" s="391"/>
    </row>
    <row r="92" spans="1:6" ht="22.5">
      <c r="A92" s="393" t="s">
        <v>331</v>
      </c>
      <c r="B92" s="394"/>
      <c r="C92" s="395"/>
      <c r="D92" s="383"/>
      <c r="E92" s="396"/>
      <c r="F92" s="386"/>
    </row>
    <row r="93" spans="1:6" ht="22.5">
      <c r="A93" s="692" t="s">
        <v>593</v>
      </c>
      <c r="B93" s="693"/>
      <c r="C93" s="693"/>
      <c r="D93" s="693"/>
      <c r="E93" s="693"/>
      <c r="F93" s="694"/>
    </row>
    <row r="94" spans="1:6" ht="22.5">
      <c r="A94" s="397" t="s">
        <v>590</v>
      </c>
      <c r="B94" s="394"/>
      <c r="C94" s="395"/>
      <c r="D94" s="383"/>
      <c r="E94" s="396"/>
      <c r="F94" s="386"/>
    </row>
    <row r="95" spans="1:6" ht="22.5">
      <c r="A95" s="398"/>
      <c r="B95" s="399"/>
      <c r="C95" s="395"/>
      <c r="D95" s="383"/>
      <c r="E95" s="396"/>
      <c r="F95" s="386"/>
    </row>
    <row r="96" spans="1:6" ht="22.5">
      <c r="A96" s="398"/>
      <c r="B96" s="399"/>
      <c r="C96" s="395"/>
      <c r="D96" s="383"/>
      <c r="E96" s="396"/>
      <c r="F96" s="386"/>
    </row>
    <row r="97" spans="1:6" ht="22.5">
      <c r="A97" s="398"/>
      <c r="B97" s="399"/>
      <c r="C97" s="395"/>
      <c r="D97" s="383"/>
      <c r="E97" s="396"/>
      <c r="F97" s="386"/>
    </row>
    <row r="98" spans="1:6" ht="22.5">
      <c r="A98" s="400"/>
      <c r="B98" s="394"/>
      <c r="C98" s="395"/>
      <c r="D98" s="383"/>
      <c r="E98" s="396"/>
      <c r="F98" s="386"/>
    </row>
    <row r="99" spans="1:6" ht="22.5">
      <c r="A99" s="400"/>
      <c r="B99" s="394"/>
      <c r="C99" s="395"/>
      <c r="D99" s="383"/>
      <c r="E99" s="396"/>
      <c r="F99" s="386"/>
    </row>
    <row r="100" spans="1:6" ht="22.5">
      <c r="A100" s="397" t="s">
        <v>332</v>
      </c>
      <c r="B100" s="395"/>
      <c r="C100" s="395"/>
      <c r="D100" s="383"/>
      <c r="E100" s="395"/>
      <c r="F100" s="379"/>
    </row>
    <row r="101" spans="1:6" ht="22.5">
      <c r="A101" s="397"/>
      <c r="B101" s="395"/>
      <c r="C101" s="395"/>
      <c r="D101" s="383"/>
      <c r="E101" s="395"/>
      <c r="F101" s="379"/>
    </row>
    <row r="102" spans="1:6" ht="22.5">
      <c r="A102" s="692"/>
      <c r="B102" s="693"/>
      <c r="C102" s="693"/>
      <c r="D102" s="693"/>
      <c r="E102" s="693"/>
      <c r="F102" s="694"/>
    </row>
    <row r="103" spans="1:6" ht="22.5">
      <c r="A103" s="397"/>
      <c r="B103" s="394"/>
      <c r="C103" s="395"/>
      <c r="D103" s="383"/>
      <c r="E103" s="396"/>
      <c r="F103" s="386"/>
    </row>
    <row r="104" spans="1:6" ht="22.5">
      <c r="A104" s="388"/>
      <c r="B104" s="401"/>
      <c r="C104" s="401"/>
      <c r="D104" s="401"/>
      <c r="E104" s="401"/>
      <c r="F104" s="402"/>
    </row>
    <row r="105" spans="1:6" ht="22.5">
      <c r="A105" s="395"/>
      <c r="B105" s="395"/>
      <c r="C105" s="395"/>
      <c r="D105" s="395"/>
      <c r="E105" s="395"/>
      <c r="F105" s="395"/>
    </row>
    <row r="106" spans="1:6" ht="22.5">
      <c r="A106" s="395"/>
      <c r="B106" s="395"/>
      <c r="C106" s="395"/>
      <c r="D106" s="395"/>
      <c r="E106" s="395"/>
      <c r="F106" s="395"/>
    </row>
    <row r="107" spans="1:6" ht="22.5">
      <c r="A107" s="395"/>
      <c r="B107" s="395"/>
      <c r="C107" s="395"/>
      <c r="D107" s="395"/>
      <c r="E107" s="395"/>
      <c r="F107" s="395"/>
    </row>
    <row r="108" spans="1:6" ht="22.5">
      <c r="A108" s="395"/>
      <c r="B108" s="395"/>
      <c r="C108" s="395"/>
      <c r="D108" s="395"/>
      <c r="E108" s="395"/>
      <c r="F108" s="395"/>
    </row>
    <row r="109" spans="1:6" ht="22.5">
      <c r="A109" s="395"/>
      <c r="B109" s="395"/>
      <c r="C109" s="395"/>
      <c r="D109" s="395"/>
      <c r="E109" s="395"/>
      <c r="F109" s="395"/>
    </row>
    <row r="110" spans="1:6" ht="22.5">
      <c r="A110" s="395"/>
      <c r="B110" s="395"/>
      <c r="C110" s="395"/>
      <c r="D110" s="395"/>
      <c r="E110" s="395"/>
      <c r="F110" s="395"/>
    </row>
    <row r="111" spans="1:6" ht="22.5">
      <c r="A111" s="395"/>
      <c r="B111" s="395"/>
      <c r="C111" s="395"/>
      <c r="D111" s="395"/>
      <c r="E111" s="395"/>
      <c r="F111" s="395"/>
    </row>
    <row r="112" spans="1:6" ht="22.5">
      <c r="A112" s="395"/>
      <c r="B112" s="395"/>
      <c r="C112" s="395"/>
      <c r="D112" s="395"/>
      <c r="E112" s="395"/>
      <c r="F112" s="395"/>
    </row>
    <row r="113" spans="1:6" ht="22.5">
      <c r="A113" s="395"/>
      <c r="B113" s="395"/>
      <c r="C113" s="395"/>
      <c r="D113" s="395"/>
      <c r="E113" s="395"/>
      <c r="F113" s="395"/>
    </row>
    <row r="114" spans="1:6" ht="22.5">
      <c r="A114" s="395"/>
      <c r="B114" s="395"/>
      <c r="C114" s="395"/>
      <c r="D114" s="395"/>
      <c r="E114" s="395"/>
      <c r="F114" s="395"/>
    </row>
    <row r="115" spans="1:6" ht="22.5">
      <c r="A115" s="695" t="s">
        <v>533</v>
      </c>
      <c r="B115" s="695"/>
      <c r="C115" s="695"/>
      <c r="D115" s="695"/>
      <c r="E115" s="695"/>
      <c r="F115" s="695"/>
    </row>
    <row r="116" spans="1:6" ht="22.5">
      <c r="A116" s="695" t="s">
        <v>591</v>
      </c>
      <c r="B116" s="695"/>
      <c r="C116" s="695"/>
      <c r="D116" s="695"/>
      <c r="E116" s="695"/>
      <c r="F116" s="695"/>
    </row>
    <row r="117" spans="1:6" ht="22.5">
      <c r="A117" s="696" t="s">
        <v>330</v>
      </c>
      <c r="B117" s="696"/>
      <c r="C117" s="696"/>
      <c r="D117" s="696"/>
      <c r="E117" s="696"/>
      <c r="F117" s="696"/>
    </row>
    <row r="118" spans="1:6" ht="22.5">
      <c r="A118" s="371" t="s">
        <v>322</v>
      </c>
      <c r="B118" s="371"/>
      <c r="C118" s="371"/>
      <c r="D118" s="371"/>
      <c r="E118" s="371"/>
      <c r="F118" s="371"/>
    </row>
    <row r="119" spans="1:6" ht="22.5">
      <c r="A119" s="372" t="s">
        <v>35</v>
      </c>
      <c r="B119" s="373" t="s">
        <v>34</v>
      </c>
      <c r="C119" s="697" t="s">
        <v>323</v>
      </c>
      <c r="D119" s="698"/>
      <c r="E119" s="697" t="s">
        <v>37</v>
      </c>
      <c r="F119" s="698"/>
    </row>
    <row r="120" spans="1:6" ht="22.5">
      <c r="A120" s="374" t="s">
        <v>43</v>
      </c>
      <c r="B120" s="375"/>
      <c r="C120" s="376">
        <v>7840</v>
      </c>
      <c r="D120" s="377" t="s">
        <v>52</v>
      </c>
      <c r="E120" s="378"/>
      <c r="F120" s="379"/>
    </row>
    <row r="121" spans="1:6" ht="22.5">
      <c r="A121" s="380" t="s">
        <v>543</v>
      </c>
      <c r="B121" s="381"/>
      <c r="C121" s="382"/>
      <c r="D121" s="383"/>
      <c r="E121" s="384">
        <f>C120</f>
        <v>7840</v>
      </c>
      <c r="F121" s="381" t="s">
        <v>52</v>
      </c>
    </row>
    <row r="122" spans="1:6" ht="22.5">
      <c r="A122" s="374"/>
      <c r="B122" s="381"/>
      <c r="C122" s="382"/>
      <c r="D122" s="383"/>
      <c r="E122" s="385"/>
      <c r="F122" s="386"/>
    </row>
    <row r="123" spans="1:6" ht="22.5">
      <c r="A123" s="374"/>
      <c r="B123" s="381"/>
      <c r="C123" s="385"/>
      <c r="D123" s="383"/>
      <c r="E123" s="385"/>
      <c r="F123" s="386"/>
    </row>
    <row r="124" spans="1:6" ht="22.5">
      <c r="A124" s="374"/>
      <c r="B124" s="381"/>
      <c r="C124" s="385"/>
      <c r="D124" s="383"/>
      <c r="E124" s="385"/>
      <c r="F124" s="386"/>
    </row>
    <row r="125" spans="1:6" ht="22.5">
      <c r="A125" s="374"/>
      <c r="B125" s="381"/>
      <c r="C125" s="385"/>
      <c r="D125" s="383"/>
      <c r="E125" s="385"/>
      <c r="F125" s="386"/>
    </row>
    <row r="126" spans="1:6" ht="22.5">
      <c r="A126" s="387"/>
      <c r="B126" s="381"/>
      <c r="C126" s="382"/>
      <c r="D126" s="383"/>
      <c r="E126" s="385"/>
      <c r="F126" s="386"/>
    </row>
    <row r="127" spans="1:6" ht="22.5">
      <c r="A127" s="374"/>
      <c r="B127" s="381"/>
      <c r="C127" s="382"/>
      <c r="D127" s="383"/>
      <c r="E127" s="385"/>
      <c r="F127" s="386"/>
    </row>
    <row r="128" spans="1:6" ht="22.5">
      <c r="A128" s="374"/>
      <c r="B128" s="381"/>
      <c r="C128" s="374"/>
      <c r="D128" s="383"/>
      <c r="E128" s="382"/>
      <c r="F128" s="386"/>
    </row>
    <row r="129" spans="1:6" ht="22.5">
      <c r="A129" s="388"/>
      <c r="B129" s="389"/>
      <c r="C129" s="390"/>
      <c r="D129" s="391"/>
      <c r="E129" s="392"/>
      <c r="F129" s="391"/>
    </row>
    <row r="130" spans="1:6" ht="22.5">
      <c r="A130" s="393" t="s">
        <v>331</v>
      </c>
      <c r="B130" s="394"/>
      <c r="C130" s="395"/>
      <c r="D130" s="383"/>
      <c r="E130" s="396"/>
      <c r="F130" s="386"/>
    </row>
    <row r="131" spans="1:6" ht="22.5">
      <c r="A131" s="692" t="s">
        <v>592</v>
      </c>
      <c r="B131" s="693"/>
      <c r="C131" s="693"/>
      <c r="D131" s="693"/>
      <c r="E131" s="693"/>
      <c r="F131" s="694"/>
    </row>
    <row r="132" spans="1:6" ht="22.5">
      <c r="A132" s="397" t="s">
        <v>550</v>
      </c>
      <c r="B132" s="394"/>
      <c r="C132" s="395"/>
      <c r="D132" s="383"/>
      <c r="E132" s="396"/>
      <c r="F132" s="386"/>
    </row>
    <row r="133" spans="1:6" ht="22.5">
      <c r="A133" s="398"/>
      <c r="B133" s="399"/>
      <c r="C133" s="395"/>
      <c r="D133" s="383"/>
      <c r="E133" s="396"/>
      <c r="F133" s="386"/>
    </row>
    <row r="134" spans="1:6" ht="22.5">
      <c r="A134" s="398"/>
      <c r="B134" s="399"/>
      <c r="C134" s="395"/>
      <c r="D134" s="383"/>
      <c r="E134" s="396"/>
      <c r="F134" s="386"/>
    </row>
    <row r="135" spans="1:6" ht="22.5">
      <c r="A135" s="398"/>
      <c r="B135" s="399"/>
      <c r="C135" s="395"/>
      <c r="D135" s="383"/>
      <c r="E135" s="396"/>
      <c r="F135" s="386"/>
    </row>
    <row r="136" spans="1:6" ht="22.5">
      <c r="A136" s="400"/>
      <c r="B136" s="394"/>
      <c r="C136" s="395"/>
      <c r="D136" s="383"/>
      <c r="E136" s="396"/>
      <c r="F136" s="386"/>
    </row>
    <row r="137" spans="1:6" ht="22.5">
      <c r="A137" s="400"/>
      <c r="B137" s="394"/>
      <c r="C137" s="395"/>
      <c r="D137" s="383"/>
      <c r="E137" s="396"/>
      <c r="F137" s="386"/>
    </row>
    <row r="138" spans="1:6" ht="22.5">
      <c r="A138" s="397" t="s">
        <v>332</v>
      </c>
      <c r="B138" s="395"/>
      <c r="C138" s="395"/>
      <c r="D138" s="383"/>
      <c r="E138" s="395"/>
      <c r="F138" s="379"/>
    </row>
    <row r="139" spans="1:6" ht="22.5">
      <c r="A139" s="397"/>
      <c r="B139" s="395"/>
      <c r="C139" s="395"/>
      <c r="D139" s="383"/>
      <c r="E139" s="395"/>
      <c r="F139" s="379"/>
    </row>
    <row r="140" spans="1:6" ht="22.5">
      <c r="A140" s="692"/>
      <c r="B140" s="693"/>
      <c r="C140" s="693"/>
      <c r="D140" s="693"/>
      <c r="E140" s="693"/>
      <c r="F140" s="694"/>
    </row>
    <row r="141" spans="1:6" ht="22.5">
      <c r="A141" s="397"/>
      <c r="B141" s="394"/>
      <c r="C141" s="395"/>
      <c r="D141" s="383"/>
      <c r="E141" s="396"/>
      <c r="F141" s="386"/>
    </row>
    <row r="142" spans="1:6" ht="22.5">
      <c r="A142" s="388"/>
      <c r="B142" s="401"/>
      <c r="C142" s="401"/>
      <c r="D142" s="401"/>
      <c r="E142" s="401"/>
      <c r="F142" s="402"/>
    </row>
    <row r="143" spans="1:6" ht="22.5">
      <c r="A143" s="395"/>
      <c r="B143" s="395"/>
      <c r="C143" s="395"/>
      <c r="D143" s="395"/>
      <c r="E143" s="395"/>
      <c r="F143" s="395"/>
    </row>
    <row r="144" spans="1:6" ht="22.5">
      <c r="A144" s="395"/>
      <c r="B144" s="395"/>
      <c r="C144" s="395"/>
      <c r="D144" s="395"/>
      <c r="E144" s="395"/>
      <c r="F144" s="395"/>
    </row>
    <row r="145" spans="1:6" ht="22.5">
      <c r="A145" s="395"/>
      <c r="B145" s="395"/>
      <c r="C145" s="395"/>
      <c r="D145" s="395"/>
      <c r="E145" s="395"/>
      <c r="F145" s="395"/>
    </row>
    <row r="146" spans="1:6" ht="22.5">
      <c r="A146" s="395"/>
      <c r="B146" s="395"/>
      <c r="C146" s="395"/>
      <c r="D146" s="395"/>
      <c r="E146" s="395"/>
      <c r="F146" s="395"/>
    </row>
    <row r="147" spans="1:6" ht="22.5">
      <c r="A147" s="395"/>
      <c r="B147" s="395"/>
      <c r="C147" s="395"/>
      <c r="D147" s="395"/>
      <c r="E147" s="395"/>
      <c r="F147" s="395"/>
    </row>
    <row r="148" spans="1:6" ht="22.5">
      <c r="A148" s="395"/>
      <c r="B148" s="395"/>
      <c r="C148" s="395"/>
      <c r="D148" s="395"/>
      <c r="E148" s="395"/>
      <c r="F148" s="395"/>
    </row>
    <row r="149" spans="1:6" ht="22.5">
      <c r="A149" s="395"/>
      <c r="B149" s="395"/>
      <c r="C149" s="395"/>
      <c r="D149" s="395"/>
      <c r="E149" s="395"/>
      <c r="F149" s="395"/>
    </row>
    <row r="150" spans="1:6" ht="22.5">
      <c r="A150" s="395"/>
      <c r="B150" s="395"/>
      <c r="C150" s="395"/>
      <c r="D150" s="395"/>
      <c r="E150" s="395"/>
      <c r="F150" s="395"/>
    </row>
    <row r="151" spans="1:6" ht="22.5">
      <c r="A151" s="395"/>
      <c r="B151" s="395"/>
      <c r="C151" s="395"/>
      <c r="D151" s="395"/>
      <c r="E151" s="395"/>
      <c r="F151" s="395"/>
    </row>
    <row r="152" spans="1:6" ht="22.5">
      <c r="A152" s="395"/>
      <c r="B152" s="395"/>
      <c r="C152" s="395"/>
      <c r="D152" s="395"/>
      <c r="E152" s="395"/>
      <c r="F152" s="395"/>
    </row>
    <row r="153" spans="1:6" ht="22.5">
      <c r="A153" s="695" t="s">
        <v>533</v>
      </c>
      <c r="B153" s="695"/>
      <c r="C153" s="695"/>
      <c r="D153" s="695"/>
      <c r="E153" s="695"/>
      <c r="F153" s="695"/>
    </row>
    <row r="154" spans="1:6" ht="22.5">
      <c r="A154" s="695" t="s">
        <v>594</v>
      </c>
      <c r="B154" s="695"/>
      <c r="C154" s="695"/>
      <c r="D154" s="695"/>
      <c r="E154" s="695"/>
      <c r="F154" s="695"/>
    </row>
    <row r="155" spans="1:6" ht="22.5">
      <c r="A155" s="696" t="s">
        <v>330</v>
      </c>
      <c r="B155" s="696"/>
      <c r="C155" s="696"/>
      <c r="D155" s="696"/>
      <c r="E155" s="696"/>
      <c r="F155" s="696"/>
    </row>
    <row r="156" spans="1:6" ht="22.5">
      <c r="A156" s="371" t="s">
        <v>322</v>
      </c>
      <c r="B156" s="371"/>
      <c r="C156" s="371"/>
      <c r="D156" s="371"/>
      <c r="E156" s="371"/>
      <c r="F156" s="371"/>
    </row>
    <row r="157" spans="1:6" ht="22.5">
      <c r="A157" s="372" t="s">
        <v>35</v>
      </c>
      <c r="B157" s="373" t="s">
        <v>34</v>
      </c>
      <c r="C157" s="697" t="s">
        <v>323</v>
      </c>
      <c r="D157" s="698"/>
      <c r="E157" s="697" t="s">
        <v>37</v>
      </c>
      <c r="F157" s="698"/>
    </row>
    <row r="158" spans="1:6" ht="22.5">
      <c r="A158" s="374" t="s">
        <v>43</v>
      </c>
      <c r="B158" s="375"/>
      <c r="C158" s="376">
        <v>8400</v>
      </c>
      <c r="D158" s="377" t="s">
        <v>52</v>
      </c>
      <c r="E158" s="378"/>
      <c r="F158" s="379"/>
    </row>
    <row r="159" spans="1:6" ht="22.5">
      <c r="A159" s="380" t="s">
        <v>543</v>
      </c>
      <c r="B159" s="381"/>
      <c r="C159" s="382"/>
      <c r="D159" s="383"/>
      <c r="E159" s="384">
        <f>C158</f>
        <v>8400</v>
      </c>
      <c r="F159" s="381" t="s">
        <v>52</v>
      </c>
    </row>
    <row r="160" spans="1:6" ht="22.5">
      <c r="A160" s="374"/>
      <c r="B160" s="381"/>
      <c r="C160" s="382"/>
      <c r="D160" s="383"/>
      <c r="E160" s="385"/>
      <c r="F160" s="386"/>
    </row>
    <row r="161" spans="1:6" ht="22.5">
      <c r="A161" s="374"/>
      <c r="B161" s="381"/>
      <c r="C161" s="385"/>
      <c r="D161" s="383"/>
      <c r="E161" s="385"/>
      <c r="F161" s="386"/>
    </row>
    <row r="162" spans="1:6" ht="22.5">
      <c r="A162" s="374"/>
      <c r="B162" s="381"/>
      <c r="C162" s="385"/>
      <c r="D162" s="383"/>
      <c r="E162" s="385"/>
      <c r="F162" s="386"/>
    </row>
    <row r="163" spans="1:6" ht="22.5">
      <c r="A163" s="374"/>
      <c r="B163" s="381"/>
      <c r="C163" s="385"/>
      <c r="D163" s="383"/>
      <c r="E163" s="385"/>
      <c r="F163" s="386"/>
    </row>
    <row r="164" spans="1:6" ht="22.5">
      <c r="A164" s="387"/>
      <c r="B164" s="381"/>
      <c r="C164" s="382"/>
      <c r="D164" s="383"/>
      <c r="E164" s="385"/>
      <c r="F164" s="386"/>
    </row>
    <row r="165" spans="1:6" ht="22.5">
      <c r="A165" s="374"/>
      <c r="B165" s="381"/>
      <c r="C165" s="382"/>
      <c r="D165" s="383"/>
      <c r="E165" s="385"/>
      <c r="F165" s="386"/>
    </row>
    <row r="166" spans="1:6" ht="22.5">
      <c r="A166" s="374"/>
      <c r="B166" s="381"/>
      <c r="C166" s="374"/>
      <c r="D166" s="383"/>
      <c r="E166" s="382"/>
      <c r="F166" s="386"/>
    </row>
    <row r="167" spans="1:6" ht="22.5">
      <c r="A167" s="388"/>
      <c r="B167" s="389"/>
      <c r="C167" s="390"/>
      <c r="D167" s="391"/>
      <c r="E167" s="392"/>
      <c r="F167" s="391"/>
    </row>
    <row r="168" spans="1:6" ht="22.5">
      <c r="A168" s="393" t="s">
        <v>331</v>
      </c>
      <c r="B168" s="394"/>
      <c r="C168" s="395"/>
      <c r="D168" s="383"/>
      <c r="E168" s="396"/>
      <c r="F168" s="386"/>
    </row>
    <row r="169" spans="1:6" ht="22.5">
      <c r="A169" s="692" t="s">
        <v>595</v>
      </c>
      <c r="B169" s="693"/>
      <c r="C169" s="693"/>
      <c r="D169" s="693"/>
      <c r="E169" s="693"/>
      <c r="F169" s="694"/>
    </row>
    <row r="170" spans="1:6" ht="22.5">
      <c r="A170" s="397" t="s">
        <v>550</v>
      </c>
      <c r="B170" s="394"/>
      <c r="C170" s="395"/>
      <c r="D170" s="383"/>
      <c r="E170" s="396"/>
      <c r="F170" s="386"/>
    </row>
    <row r="171" spans="1:6" ht="22.5">
      <c r="A171" s="398"/>
      <c r="B171" s="399"/>
      <c r="C171" s="395"/>
      <c r="D171" s="383"/>
      <c r="E171" s="396"/>
      <c r="F171" s="386"/>
    </row>
    <row r="172" spans="1:6" ht="22.5">
      <c r="A172" s="398"/>
      <c r="B172" s="399"/>
      <c r="C172" s="395"/>
      <c r="D172" s="383"/>
      <c r="E172" s="396"/>
      <c r="F172" s="386"/>
    </row>
    <row r="173" spans="1:6" ht="22.5">
      <c r="A173" s="398"/>
      <c r="B173" s="399"/>
      <c r="C173" s="395"/>
      <c r="D173" s="383"/>
      <c r="E173" s="396"/>
      <c r="F173" s="386"/>
    </row>
    <row r="174" spans="1:6" ht="22.5">
      <c r="A174" s="400"/>
      <c r="B174" s="394"/>
      <c r="C174" s="395"/>
      <c r="D174" s="383"/>
      <c r="E174" s="396"/>
      <c r="F174" s="386"/>
    </row>
    <row r="175" spans="1:6" ht="22.5">
      <c r="A175" s="400"/>
      <c r="B175" s="394"/>
      <c r="C175" s="395"/>
      <c r="D175" s="383"/>
      <c r="E175" s="396"/>
      <c r="F175" s="386"/>
    </row>
    <row r="176" spans="1:6" ht="22.5">
      <c r="A176" s="397" t="s">
        <v>332</v>
      </c>
      <c r="B176" s="395"/>
      <c r="C176" s="395"/>
      <c r="D176" s="383"/>
      <c r="E176" s="395"/>
      <c r="F176" s="379"/>
    </row>
    <row r="177" spans="1:6" ht="22.5">
      <c r="A177" s="397"/>
      <c r="B177" s="395"/>
      <c r="C177" s="395"/>
      <c r="D177" s="383"/>
      <c r="E177" s="395"/>
      <c r="F177" s="379"/>
    </row>
    <row r="178" spans="1:6" ht="22.5">
      <c r="A178" s="692"/>
      <c r="B178" s="693"/>
      <c r="C178" s="693"/>
      <c r="D178" s="693"/>
      <c r="E178" s="693"/>
      <c r="F178" s="694"/>
    </row>
    <row r="179" spans="1:6" ht="22.5">
      <c r="A179" s="397"/>
      <c r="B179" s="394"/>
      <c r="C179" s="395"/>
      <c r="D179" s="383"/>
      <c r="E179" s="396"/>
      <c r="F179" s="386"/>
    </row>
    <row r="180" spans="1:6" ht="22.5">
      <c r="A180" s="388"/>
      <c r="B180" s="401"/>
      <c r="C180" s="401"/>
      <c r="D180" s="401"/>
      <c r="E180" s="401"/>
      <c r="F180" s="402"/>
    </row>
    <row r="191" spans="1:6" ht="22.5">
      <c r="A191" s="695" t="s">
        <v>533</v>
      </c>
      <c r="B191" s="695"/>
      <c r="C191" s="695"/>
      <c r="D191" s="695"/>
      <c r="E191" s="695"/>
      <c r="F191" s="695"/>
    </row>
    <row r="192" spans="1:6" ht="22.5">
      <c r="A192" s="695" t="s">
        <v>598</v>
      </c>
      <c r="B192" s="695"/>
      <c r="C192" s="695"/>
      <c r="D192" s="695"/>
      <c r="E192" s="695"/>
      <c r="F192" s="695"/>
    </row>
    <row r="193" spans="1:6" ht="22.5">
      <c r="A193" s="696" t="s">
        <v>330</v>
      </c>
      <c r="B193" s="696"/>
      <c r="C193" s="696"/>
      <c r="D193" s="696"/>
      <c r="E193" s="696"/>
      <c r="F193" s="696"/>
    </row>
    <row r="194" spans="1:6" ht="22.5">
      <c r="A194" s="371" t="s">
        <v>322</v>
      </c>
      <c r="B194" s="371"/>
      <c r="C194" s="371"/>
      <c r="D194" s="371"/>
      <c r="E194" s="371"/>
      <c r="F194" s="371"/>
    </row>
    <row r="195" spans="1:6" ht="22.5">
      <c r="A195" s="372" t="s">
        <v>35</v>
      </c>
      <c r="B195" s="373" t="s">
        <v>34</v>
      </c>
      <c r="C195" s="697" t="s">
        <v>323</v>
      </c>
      <c r="D195" s="698"/>
      <c r="E195" s="697" t="s">
        <v>37</v>
      </c>
      <c r="F195" s="698"/>
    </row>
    <row r="196" spans="1:6" ht="22.5">
      <c r="A196" s="374" t="s">
        <v>47</v>
      </c>
      <c r="B196" s="375" t="s">
        <v>336</v>
      </c>
      <c r="C196" s="376">
        <v>31000</v>
      </c>
      <c r="D196" s="377" t="s">
        <v>52</v>
      </c>
      <c r="E196" s="378"/>
      <c r="F196" s="379"/>
    </row>
    <row r="197" spans="1:6" ht="22.5">
      <c r="A197" s="374" t="s">
        <v>551</v>
      </c>
      <c r="B197" s="381"/>
      <c r="C197" s="384">
        <v>601400</v>
      </c>
      <c r="D197" s="377" t="s">
        <v>52</v>
      </c>
      <c r="E197" s="374"/>
      <c r="F197" s="379"/>
    </row>
    <row r="198" spans="1:6" ht="22.5">
      <c r="A198" s="374" t="s">
        <v>552</v>
      </c>
      <c r="B198" s="381"/>
      <c r="C198" s="384">
        <v>70000</v>
      </c>
      <c r="D198" s="377" t="s">
        <v>52</v>
      </c>
      <c r="E198" s="374"/>
      <c r="F198" s="379"/>
    </row>
    <row r="199" spans="1:6" ht="22.5">
      <c r="A199" s="380" t="s">
        <v>556</v>
      </c>
      <c r="B199" s="381" t="s">
        <v>56</v>
      </c>
      <c r="C199" s="382"/>
      <c r="D199" s="383"/>
      <c r="E199" s="384">
        <f>+C196+C197+C198</f>
        <v>702400</v>
      </c>
      <c r="F199" s="381" t="s">
        <v>52</v>
      </c>
    </row>
    <row r="200" spans="1:6" ht="22.5">
      <c r="A200" s="374"/>
      <c r="B200" s="381"/>
      <c r="C200" s="382"/>
      <c r="D200" s="383"/>
      <c r="E200" s="385"/>
      <c r="F200" s="386"/>
    </row>
    <row r="201" spans="1:6" ht="22.5">
      <c r="A201" s="374"/>
      <c r="B201" s="381"/>
      <c r="C201" s="385"/>
      <c r="D201" s="383"/>
      <c r="E201" s="385"/>
      <c r="F201" s="386"/>
    </row>
    <row r="202" spans="1:6" ht="22.5">
      <c r="A202" s="374"/>
      <c r="B202" s="381"/>
      <c r="C202" s="385"/>
      <c r="D202" s="383"/>
      <c r="E202" s="385"/>
      <c r="F202" s="386"/>
    </row>
    <row r="203" spans="1:6" ht="22.5">
      <c r="A203" s="374"/>
      <c r="B203" s="381"/>
      <c r="C203" s="385"/>
      <c r="D203" s="383"/>
      <c r="E203" s="385"/>
      <c r="F203" s="386"/>
    </row>
    <row r="204" spans="1:6" ht="22.5">
      <c r="A204" s="387"/>
      <c r="B204" s="381"/>
      <c r="C204" s="382"/>
      <c r="D204" s="383"/>
      <c r="E204" s="385"/>
      <c r="F204" s="386"/>
    </row>
    <row r="205" spans="1:6" ht="22.5">
      <c r="A205" s="374"/>
      <c r="B205" s="381"/>
      <c r="C205" s="382"/>
      <c r="D205" s="383"/>
      <c r="E205" s="385"/>
      <c r="F205" s="386"/>
    </row>
    <row r="206" spans="1:6" ht="22.5">
      <c r="A206" s="374"/>
      <c r="B206" s="381"/>
      <c r="C206" s="374"/>
      <c r="D206" s="383"/>
      <c r="E206" s="382"/>
      <c r="F206" s="386"/>
    </row>
    <row r="207" spans="1:6" ht="22.5">
      <c r="A207" s="388"/>
      <c r="B207" s="389"/>
      <c r="C207" s="390"/>
      <c r="D207" s="391"/>
      <c r="E207" s="392"/>
      <c r="F207" s="391"/>
    </row>
    <row r="208" spans="1:6" ht="22.5">
      <c r="A208" s="393" t="s">
        <v>331</v>
      </c>
      <c r="B208" s="394"/>
      <c r="C208" s="395"/>
      <c r="D208" s="383"/>
      <c r="E208" s="396"/>
      <c r="F208" s="386"/>
    </row>
    <row r="209" spans="1:6" ht="22.5">
      <c r="A209" s="692" t="s">
        <v>596</v>
      </c>
      <c r="B209" s="693"/>
      <c r="C209" s="693"/>
      <c r="D209" s="693"/>
      <c r="E209" s="693"/>
      <c r="F209" s="694"/>
    </row>
    <row r="210" spans="1:6" ht="22.5">
      <c r="A210" s="558" t="s">
        <v>553</v>
      </c>
      <c r="B210" s="394"/>
      <c r="C210" s="559">
        <v>70000</v>
      </c>
      <c r="D210" s="383"/>
      <c r="E210" s="396" t="s">
        <v>53</v>
      </c>
      <c r="F210" s="386"/>
    </row>
    <row r="211" spans="1:6" ht="22.5">
      <c r="A211" s="558" t="s">
        <v>554</v>
      </c>
      <c r="B211" s="399"/>
      <c r="C211" s="559">
        <v>601400</v>
      </c>
      <c r="D211" s="383"/>
      <c r="E211" s="396" t="s">
        <v>53</v>
      </c>
      <c r="F211" s="386"/>
    </row>
    <row r="212" spans="1:6" ht="22.5">
      <c r="A212" s="558" t="s">
        <v>555</v>
      </c>
      <c r="B212" s="399"/>
      <c r="C212" s="559">
        <v>31000</v>
      </c>
      <c r="D212" s="383"/>
      <c r="E212" s="396" t="s">
        <v>53</v>
      </c>
      <c r="F212" s="386"/>
    </row>
    <row r="213" spans="1:6" ht="22.5">
      <c r="A213" s="397" t="s">
        <v>597</v>
      </c>
      <c r="B213" s="399"/>
      <c r="C213" s="395"/>
      <c r="D213" s="383"/>
      <c r="E213" s="396"/>
      <c r="F213" s="386"/>
    </row>
    <row r="214" spans="1:6" ht="22.5">
      <c r="A214" s="400"/>
      <c r="B214" s="394"/>
      <c r="C214" s="395"/>
      <c r="D214" s="383"/>
      <c r="E214" s="396"/>
      <c r="F214" s="386"/>
    </row>
    <row r="215" spans="1:6" ht="22.5">
      <c r="A215" s="400"/>
      <c r="B215" s="394"/>
      <c r="C215" s="395"/>
      <c r="D215" s="383"/>
      <c r="E215" s="396"/>
      <c r="F215" s="386"/>
    </row>
    <row r="216" spans="1:6" ht="22.5">
      <c r="A216" s="397" t="s">
        <v>332</v>
      </c>
      <c r="B216" s="395"/>
      <c r="C216" s="395"/>
      <c r="D216" s="383"/>
      <c r="E216" s="395"/>
      <c r="F216" s="379"/>
    </row>
    <row r="217" spans="1:6" ht="22.5">
      <c r="A217" s="397"/>
      <c r="B217" s="395"/>
      <c r="C217" s="395"/>
      <c r="D217" s="383"/>
      <c r="E217" s="395"/>
      <c r="F217" s="379"/>
    </row>
    <row r="218" spans="1:6" ht="22.5">
      <c r="A218" s="692"/>
      <c r="B218" s="693"/>
      <c r="C218" s="693"/>
      <c r="D218" s="693"/>
      <c r="E218" s="693"/>
      <c r="F218" s="694"/>
    </row>
    <row r="219" spans="1:6" ht="22.5">
      <c r="A219" s="397"/>
      <c r="B219" s="394"/>
      <c r="C219" s="395"/>
      <c r="D219" s="383"/>
      <c r="E219" s="396"/>
      <c r="F219" s="386"/>
    </row>
    <row r="220" spans="1:6" ht="22.5">
      <c r="A220" s="388"/>
      <c r="B220" s="401"/>
      <c r="C220" s="401"/>
      <c r="D220" s="401"/>
      <c r="E220" s="401"/>
      <c r="F220" s="402"/>
    </row>
    <row r="229" spans="1:6" ht="22.5">
      <c r="A229" s="695" t="s">
        <v>533</v>
      </c>
      <c r="B229" s="695"/>
      <c r="C229" s="695"/>
      <c r="D229" s="695"/>
      <c r="E229" s="695"/>
      <c r="F229" s="695"/>
    </row>
    <row r="230" spans="1:6" ht="22.5">
      <c r="A230" s="695" t="s">
        <v>601</v>
      </c>
      <c r="B230" s="695"/>
      <c r="C230" s="695"/>
      <c r="D230" s="695"/>
      <c r="E230" s="695"/>
      <c r="F230" s="695"/>
    </row>
    <row r="231" spans="1:6" ht="22.5">
      <c r="A231" s="696" t="s">
        <v>330</v>
      </c>
      <c r="B231" s="696"/>
      <c r="C231" s="696"/>
      <c r="D231" s="696"/>
      <c r="E231" s="696"/>
      <c r="F231" s="696"/>
    </row>
    <row r="232" spans="1:6" ht="22.5">
      <c r="A232" s="371" t="s">
        <v>322</v>
      </c>
      <c r="B232" s="371"/>
      <c r="C232" s="371"/>
      <c r="D232" s="371"/>
      <c r="E232" s="371"/>
      <c r="F232" s="371"/>
    </row>
    <row r="233" spans="1:6" ht="22.5">
      <c r="A233" s="372" t="s">
        <v>35</v>
      </c>
      <c r="B233" s="373" t="s">
        <v>34</v>
      </c>
      <c r="C233" s="697" t="s">
        <v>323</v>
      </c>
      <c r="D233" s="698"/>
      <c r="E233" s="697" t="s">
        <v>37</v>
      </c>
      <c r="F233" s="698"/>
    </row>
    <row r="234" spans="1:6" ht="22.5">
      <c r="A234" s="374" t="s">
        <v>599</v>
      </c>
      <c r="B234" s="375" t="s">
        <v>336</v>
      </c>
      <c r="C234" s="376">
        <v>41280</v>
      </c>
      <c r="D234" s="377" t="s">
        <v>52</v>
      </c>
      <c r="E234" s="378"/>
      <c r="F234" s="379"/>
    </row>
    <row r="235" spans="1:6" ht="22.5">
      <c r="A235" s="380" t="s">
        <v>556</v>
      </c>
      <c r="B235" s="381" t="s">
        <v>56</v>
      </c>
      <c r="C235" s="382"/>
      <c r="D235" s="383"/>
      <c r="E235" s="384">
        <f>+C234</f>
        <v>41280</v>
      </c>
      <c r="F235" s="381" t="s">
        <v>52</v>
      </c>
    </row>
    <row r="236" spans="1:6" ht="22.5">
      <c r="A236" s="374"/>
      <c r="B236" s="381"/>
      <c r="C236" s="382"/>
      <c r="D236" s="383"/>
      <c r="E236" s="385"/>
      <c r="F236" s="386"/>
    </row>
    <row r="237" spans="1:6" ht="22.5">
      <c r="A237" s="374"/>
      <c r="B237" s="381"/>
      <c r="C237" s="385"/>
      <c r="D237" s="383"/>
      <c r="E237" s="385"/>
      <c r="F237" s="386"/>
    </row>
    <row r="238" spans="1:6" ht="22.5">
      <c r="A238" s="374"/>
      <c r="B238" s="381"/>
      <c r="C238" s="385"/>
      <c r="D238" s="383"/>
      <c r="E238" s="385"/>
      <c r="F238" s="386"/>
    </row>
    <row r="239" spans="1:6" ht="22.5">
      <c r="A239" s="374"/>
      <c r="B239" s="381"/>
      <c r="C239" s="385"/>
      <c r="D239" s="383"/>
      <c r="E239" s="385"/>
      <c r="F239" s="386"/>
    </row>
    <row r="240" spans="1:6" ht="22.5">
      <c r="A240" s="387"/>
      <c r="B240" s="381"/>
      <c r="C240" s="382"/>
      <c r="D240" s="383"/>
      <c r="E240" s="385"/>
      <c r="F240" s="386"/>
    </row>
    <row r="241" spans="1:6" ht="22.5">
      <c r="A241" s="374"/>
      <c r="B241" s="381"/>
      <c r="C241" s="382"/>
      <c r="D241" s="383"/>
      <c r="E241" s="385"/>
      <c r="F241" s="386"/>
    </row>
    <row r="242" spans="1:6" ht="22.5">
      <c r="A242" s="374"/>
      <c r="B242" s="381"/>
      <c r="C242" s="374"/>
      <c r="D242" s="383"/>
      <c r="E242" s="382"/>
      <c r="F242" s="386"/>
    </row>
    <row r="243" spans="1:6" ht="22.5">
      <c r="A243" s="388"/>
      <c r="B243" s="389"/>
      <c r="C243" s="390"/>
      <c r="D243" s="391"/>
      <c r="E243" s="392"/>
      <c r="F243" s="391"/>
    </row>
    <row r="244" spans="1:6" ht="22.5">
      <c r="A244" s="393" t="s">
        <v>331</v>
      </c>
      <c r="B244" s="394"/>
      <c r="C244" s="395"/>
      <c r="D244" s="383"/>
      <c r="E244" s="396"/>
      <c r="F244" s="386"/>
    </row>
    <row r="245" spans="1:6" ht="22.5">
      <c r="A245" s="692" t="s">
        <v>600</v>
      </c>
      <c r="B245" s="693"/>
      <c r="C245" s="693"/>
      <c r="D245" s="693"/>
      <c r="E245" s="693"/>
      <c r="F245" s="694"/>
    </row>
    <row r="246" spans="1:6" ht="22.5">
      <c r="A246" s="397" t="s">
        <v>550</v>
      </c>
      <c r="B246" s="399"/>
      <c r="C246" s="395"/>
      <c r="D246" s="383"/>
      <c r="E246" s="396"/>
      <c r="F246" s="386"/>
    </row>
    <row r="247" spans="1:6" ht="22.5">
      <c r="A247" s="400"/>
      <c r="B247" s="394"/>
      <c r="C247" s="395"/>
      <c r="D247" s="383"/>
      <c r="E247" s="396"/>
      <c r="F247" s="386"/>
    </row>
    <row r="248" spans="1:6" ht="22.5">
      <c r="A248" s="400"/>
      <c r="B248" s="394"/>
      <c r="C248" s="395"/>
      <c r="D248" s="383"/>
      <c r="E248" s="396"/>
      <c r="F248" s="386"/>
    </row>
    <row r="249" spans="1:6" ht="22.5">
      <c r="A249" s="397" t="s">
        <v>332</v>
      </c>
      <c r="B249" s="395"/>
      <c r="C249" s="395"/>
      <c r="D249" s="383"/>
      <c r="E249" s="395"/>
      <c r="F249" s="379"/>
    </row>
    <row r="250" spans="1:6" ht="22.5">
      <c r="A250" s="397"/>
      <c r="B250" s="395"/>
      <c r="C250" s="395"/>
      <c r="D250" s="383"/>
      <c r="E250" s="395"/>
      <c r="F250" s="379"/>
    </row>
    <row r="251" spans="1:6" ht="22.5">
      <c r="A251" s="692"/>
      <c r="B251" s="693"/>
      <c r="C251" s="693"/>
      <c r="D251" s="693"/>
      <c r="E251" s="693"/>
      <c r="F251" s="694"/>
    </row>
    <row r="252" spans="1:6" ht="22.5">
      <c r="A252" s="397"/>
      <c r="B252" s="394"/>
      <c r="C252" s="395"/>
      <c r="D252" s="383"/>
      <c r="E252" s="396"/>
      <c r="F252" s="386"/>
    </row>
    <row r="253" spans="1:6" ht="22.5">
      <c r="A253" s="388"/>
      <c r="B253" s="401"/>
      <c r="C253" s="401"/>
      <c r="D253" s="401"/>
      <c r="E253" s="401"/>
      <c r="F253" s="402"/>
    </row>
    <row r="262" spans="1:6" ht="22.5">
      <c r="A262" s="695"/>
      <c r="B262" s="695"/>
      <c r="C262" s="695"/>
      <c r="D262" s="695"/>
      <c r="E262" s="695"/>
      <c r="F262" s="695"/>
    </row>
    <row r="263" spans="1:6" ht="22.5">
      <c r="A263" s="695"/>
      <c r="B263" s="695"/>
      <c r="C263" s="695"/>
      <c r="D263" s="695"/>
      <c r="E263" s="695"/>
      <c r="F263" s="695"/>
    </row>
    <row r="264" spans="1:6" ht="22.5">
      <c r="A264" s="696"/>
      <c r="B264" s="696"/>
      <c r="C264" s="696"/>
      <c r="D264" s="696"/>
      <c r="E264" s="696"/>
      <c r="F264" s="696"/>
    </row>
    <row r="265" spans="1:6" ht="22.5">
      <c r="A265" s="557"/>
      <c r="B265" s="557"/>
      <c r="C265" s="557"/>
      <c r="D265" s="557"/>
      <c r="E265" s="557"/>
      <c r="F265" s="557"/>
    </row>
    <row r="266" spans="1:6" ht="22.5">
      <c r="A266" s="371"/>
      <c r="B266" s="371"/>
      <c r="C266" s="371"/>
      <c r="D266" s="371"/>
      <c r="E266" s="371"/>
      <c r="F266" s="371"/>
    </row>
    <row r="267" spans="1:6" ht="22.5">
      <c r="A267" s="695" t="s">
        <v>533</v>
      </c>
      <c r="B267" s="695"/>
      <c r="C267" s="695"/>
      <c r="D267" s="695"/>
      <c r="E267" s="695"/>
      <c r="F267" s="695"/>
    </row>
    <row r="268" spans="1:6" ht="22.5">
      <c r="A268" s="695" t="s">
        <v>601</v>
      </c>
      <c r="B268" s="695"/>
      <c r="C268" s="695"/>
      <c r="D268" s="695"/>
      <c r="E268" s="695"/>
      <c r="F268" s="695"/>
    </row>
    <row r="269" spans="1:6" ht="22.5">
      <c r="A269" s="696" t="s">
        <v>330</v>
      </c>
      <c r="B269" s="696"/>
      <c r="C269" s="696"/>
      <c r="D269" s="696"/>
      <c r="E269" s="696"/>
      <c r="F269" s="696"/>
    </row>
    <row r="270" spans="1:6" ht="22.5">
      <c r="A270" s="371" t="s">
        <v>322</v>
      </c>
      <c r="B270" s="371"/>
      <c r="C270" s="371"/>
      <c r="D270" s="371"/>
      <c r="E270" s="371"/>
      <c r="F270" s="371"/>
    </row>
    <row r="271" spans="1:6" ht="22.5">
      <c r="A271" s="372" t="s">
        <v>35</v>
      </c>
      <c r="B271" s="373" t="s">
        <v>34</v>
      </c>
      <c r="C271" s="697" t="s">
        <v>323</v>
      </c>
      <c r="D271" s="698"/>
      <c r="E271" s="697" t="s">
        <v>37</v>
      </c>
      <c r="F271" s="698"/>
    </row>
    <row r="272" spans="1:6" ht="22.5">
      <c r="A272" s="374" t="s">
        <v>599</v>
      </c>
      <c r="B272" s="375" t="s">
        <v>336</v>
      </c>
      <c r="C272" s="376">
        <v>41280</v>
      </c>
      <c r="D272" s="377" t="s">
        <v>52</v>
      </c>
      <c r="E272" s="378"/>
      <c r="F272" s="379"/>
    </row>
    <row r="273" spans="1:6" ht="22.5">
      <c r="A273" s="380" t="s">
        <v>556</v>
      </c>
      <c r="B273" s="381" t="s">
        <v>56</v>
      </c>
      <c r="C273" s="382"/>
      <c r="D273" s="383"/>
      <c r="E273" s="384">
        <f>+C272</f>
        <v>41280</v>
      </c>
      <c r="F273" s="381" t="s">
        <v>52</v>
      </c>
    </row>
    <row r="274" spans="1:6" ht="22.5">
      <c r="A274" s="374"/>
      <c r="B274" s="381"/>
      <c r="C274" s="382"/>
      <c r="D274" s="383"/>
      <c r="E274" s="385"/>
      <c r="F274" s="386"/>
    </row>
    <row r="275" spans="1:6" ht="22.5">
      <c r="A275" s="374"/>
      <c r="B275" s="381"/>
      <c r="C275" s="385"/>
      <c r="D275" s="383"/>
      <c r="E275" s="385"/>
      <c r="F275" s="386"/>
    </row>
    <row r="276" spans="1:6" ht="22.5">
      <c r="A276" s="374"/>
      <c r="B276" s="381"/>
      <c r="C276" s="385"/>
      <c r="D276" s="383"/>
      <c r="E276" s="385"/>
      <c r="F276" s="386"/>
    </row>
    <row r="277" spans="1:6" ht="22.5">
      <c r="A277" s="374"/>
      <c r="B277" s="381"/>
      <c r="C277" s="385"/>
      <c r="D277" s="383"/>
      <c r="E277" s="385"/>
      <c r="F277" s="386"/>
    </row>
    <row r="278" spans="1:6" ht="22.5">
      <c r="A278" s="387"/>
      <c r="B278" s="381"/>
      <c r="C278" s="382"/>
      <c r="D278" s="383"/>
      <c r="E278" s="385"/>
      <c r="F278" s="386"/>
    </row>
    <row r="279" spans="1:6" ht="22.5">
      <c r="A279" s="374"/>
      <c r="B279" s="381"/>
      <c r="C279" s="382"/>
      <c r="D279" s="383"/>
      <c r="E279" s="385"/>
      <c r="F279" s="386"/>
    </row>
    <row r="280" spans="1:6" ht="22.5">
      <c r="A280" s="374"/>
      <c r="B280" s="381"/>
      <c r="C280" s="374"/>
      <c r="D280" s="383"/>
      <c r="E280" s="382"/>
      <c r="F280" s="386"/>
    </row>
    <row r="281" spans="1:6" ht="22.5">
      <c r="A281" s="388"/>
      <c r="B281" s="389"/>
      <c r="C281" s="390"/>
      <c r="D281" s="391"/>
      <c r="E281" s="392"/>
      <c r="F281" s="391"/>
    </row>
    <row r="282" spans="1:6" ht="22.5">
      <c r="A282" s="393" t="s">
        <v>331</v>
      </c>
      <c r="B282" s="394"/>
      <c r="C282" s="395"/>
      <c r="D282" s="383"/>
      <c r="E282" s="396"/>
      <c r="F282" s="386"/>
    </row>
    <row r="283" spans="1:6" ht="22.5">
      <c r="A283" s="692" t="s">
        <v>602</v>
      </c>
      <c r="B283" s="693"/>
      <c r="C283" s="693"/>
      <c r="D283" s="693"/>
      <c r="E283" s="693"/>
      <c r="F283" s="694"/>
    </row>
    <row r="284" spans="1:6" ht="22.5">
      <c r="A284" s="397" t="s">
        <v>550</v>
      </c>
      <c r="B284" s="399"/>
      <c r="C284" s="395"/>
      <c r="D284" s="383"/>
      <c r="E284" s="396"/>
      <c r="F284" s="386"/>
    </row>
    <row r="285" spans="1:6" ht="22.5">
      <c r="A285" s="400"/>
      <c r="B285" s="394"/>
      <c r="C285" s="395"/>
      <c r="D285" s="383"/>
      <c r="E285" s="396"/>
      <c r="F285" s="386"/>
    </row>
    <row r="286" spans="1:6" ht="22.5">
      <c r="A286" s="400"/>
      <c r="B286" s="394"/>
      <c r="C286" s="395"/>
      <c r="D286" s="383"/>
      <c r="E286" s="396"/>
      <c r="F286" s="386"/>
    </row>
    <row r="287" spans="1:6" ht="22.5">
      <c r="A287" s="397" t="s">
        <v>332</v>
      </c>
      <c r="B287" s="395"/>
      <c r="C287" s="395"/>
      <c r="D287" s="383"/>
      <c r="E287" s="395"/>
      <c r="F287" s="379"/>
    </row>
    <row r="288" spans="1:6" ht="22.5">
      <c r="A288" s="397"/>
      <c r="B288" s="395"/>
      <c r="C288" s="395"/>
      <c r="D288" s="383"/>
      <c r="E288" s="395"/>
      <c r="F288" s="379"/>
    </row>
    <row r="289" spans="1:6" ht="22.5">
      <c r="A289" s="692"/>
      <c r="B289" s="693"/>
      <c r="C289" s="693"/>
      <c r="D289" s="693"/>
      <c r="E289" s="693"/>
      <c r="F289" s="694"/>
    </row>
    <row r="290" spans="1:6" ht="22.5">
      <c r="A290" s="397"/>
      <c r="B290" s="394"/>
      <c r="C290" s="395"/>
      <c r="D290" s="383"/>
      <c r="E290" s="396"/>
      <c r="F290" s="386"/>
    </row>
    <row r="291" spans="1:6" ht="22.5">
      <c r="A291" s="388"/>
      <c r="B291" s="401"/>
      <c r="C291" s="401"/>
      <c r="D291" s="401"/>
      <c r="E291" s="401"/>
      <c r="F291" s="402"/>
    </row>
    <row r="305" spans="1:6" ht="22.5">
      <c r="A305" s="695" t="s">
        <v>533</v>
      </c>
      <c r="B305" s="695"/>
      <c r="C305" s="695"/>
      <c r="D305" s="695"/>
      <c r="E305" s="695"/>
      <c r="F305" s="695"/>
    </row>
    <row r="306" spans="1:6" ht="22.5">
      <c r="A306" s="695" t="s">
        <v>639</v>
      </c>
      <c r="B306" s="695"/>
      <c r="C306" s="695"/>
      <c r="D306" s="695"/>
      <c r="E306" s="695"/>
      <c r="F306" s="695"/>
    </row>
    <row r="307" spans="1:6" ht="22.5">
      <c r="A307" s="696" t="s">
        <v>330</v>
      </c>
      <c r="B307" s="696"/>
      <c r="C307" s="696"/>
      <c r="D307" s="696"/>
      <c r="E307" s="696"/>
      <c r="F307" s="696"/>
    </row>
    <row r="308" spans="1:6" ht="22.5">
      <c r="A308" s="371" t="s">
        <v>322</v>
      </c>
      <c r="B308" s="371"/>
      <c r="C308" s="371"/>
      <c r="D308" s="371"/>
      <c r="E308" s="371"/>
      <c r="F308" s="371"/>
    </row>
    <row r="309" spans="1:6" ht="22.5">
      <c r="A309" s="372" t="s">
        <v>35</v>
      </c>
      <c r="B309" s="373" t="s">
        <v>34</v>
      </c>
      <c r="C309" s="697" t="s">
        <v>323</v>
      </c>
      <c r="D309" s="698"/>
      <c r="E309" s="697" t="s">
        <v>37</v>
      </c>
      <c r="F309" s="698"/>
    </row>
    <row r="310" spans="1:6" ht="22.5">
      <c r="A310" s="374" t="s">
        <v>43</v>
      </c>
      <c r="B310" s="375"/>
      <c r="C310" s="376">
        <v>3000</v>
      </c>
      <c r="D310" s="377" t="s">
        <v>52</v>
      </c>
      <c r="E310" s="378"/>
      <c r="F310" s="379"/>
    </row>
    <row r="311" spans="1:6" ht="22.5">
      <c r="A311" s="380" t="s">
        <v>543</v>
      </c>
      <c r="B311" s="381"/>
      <c r="C311" s="382"/>
      <c r="D311" s="383"/>
      <c r="E311" s="384">
        <f>C310</f>
        <v>3000</v>
      </c>
      <c r="F311" s="381" t="s">
        <v>52</v>
      </c>
    </row>
    <row r="312" spans="1:6" ht="22.5">
      <c r="A312" s="374"/>
      <c r="B312" s="381"/>
      <c r="C312" s="382"/>
      <c r="D312" s="383"/>
      <c r="E312" s="385"/>
      <c r="F312" s="386"/>
    </row>
    <row r="313" spans="1:6" ht="22.5">
      <c r="A313" s="374"/>
      <c r="B313" s="381"/>
      <c r="C313" s="385"/>
      <c r="D313" s="383"/>
      <c r="E313" s="385"/>
      <c r="F313" s="386"/>
    </row>
    <row r="314" spans="1:6" ht="22.5">
      <c r="A314" s="374"/>
      <c r="B314" s="381"/>
      <c r="C314" s="385"/>
      <c r="D314" s="383"/>
      <c r="E314" s="385"/>
      <c r="F314" s="386"/>
    </row>
    <row r="315" spans="1:6" ht="22.5">
      <c r="A315" s="374"/>
      <c r="B315" s="381"/>
      <c r="C315" s="385"/>
      <c r="D315" s="383"/>
      <c r="E315" s="385"/>
      <c r="F315" s="386"/>
    </row>
    <row r="316" spans="1:6" ht="22.5">
      <c r="A316" s="387"/>
      <c r="B316" s="381"/>
      <c r="C316" s="382"/>
      <c r="D316" s="383"/>
      <c r="E316" s="385"/>
      <c r="F316" s="386"/>
    </row>
    <row r="317" spans="1:6" ht="22.5">
      <c r="A317" s="374"/>
      <c r="B317" s="381"/>
      <c r="C317" s="382"/>
      <c r="D317" s="383"/>
      <c r="E317" s="385"/>
      <c r="F317" s="386"/>
    </row>
    <row r="318" spans="1:6" ht="22.5">
      <c r="A318" s="374"/>
      <c r="B318" s="381"/>
      <c r="C318" s="374"/>
      <c r="D318" s="383"/>
      <c r="E318" s="382"/>
      <c r="F318" s="386"/>
    </row>
    <row r="319" spans="1:6" ht="22.5">
      <c r="A319" s="388"/>
      <c r="B319" s="389"/>
      <c r="C319" s="390"/>
      <c r="D319" s="391"/>
      <c r="E319" s="392"/>
      <c r="F319" s="391"/>
    </row>
    <row r="320" spans="1:6" ht="22.5">
      <c r="A320" s="393" t="s">
        <v>331</v>
      </c>
      <c r="B320" s="394"/>
      <c r="C320" s="395"/>
      <c r="D320" s="383"/>
      <c r="E320" s="396"/>
      <c r="F320" s="386"/>
    </row>
    <row r="321" spans="1:6" ht="22.5">
      <c r="A321" s="692" t="s">
        <v>641</v>
      </c>
      <c r="B321" s="693"/>
      <c r="C321" s="693"/>
      <c r="D321" s="693"/>
      <c r="E321" s="693"/>
      <c r="F321" s="694"/>
    </row>
    <row r="322" spans="1:6" ht="22.5">
      <c r="A322" s="397" t="s">
        <v>640</v>
      </c>
      <c r="B322" s="394"/>
      <c r="C322" s="395"/>
      <c r="D322" s="383"/>
      <c r="E322" s="396"/>
      <c r="F322" s="386"/>
    </row>
    <row r="323" spans="1:6" ht="22.5">
      <c r="A323" s="398"/>
      <c r="B323" s="399"/>
      <c r="C323" s="395"/>
      <c r="D323" s="383"/>
      <c r="E323" s="396"/>
      <c r="F323" s="386"/>
    </row>
    <row r="324" spans="1:6" ht="22.5">
      <c r="A324" s="398"/>
      <c r="B324" s="399"/>
      <c r="C324" s="395"/>
      <c r="D324" s="383"/>
      <c r="E324" s="396"/>
      <c r="F324" s="386"/>
    </row>
    <row r="325" spans="1:6" ht="22.5">
      <c r="A325" s="398"/>
      <c r="B325" s="399"/>
      <c r="C325" s="395"/>
      <c r="D325" s="383"/>
      <c r="E325" s="396"/>
      <c r="F325" s="386"/>
    </row>
    <row r="326" spans="1:6" ht="22.5">
      <c r="A326" s="400"/>
      <c r="B326" s="394"/>
      <c r="C326" s="395"/>
      <c r="D326" s="383"/>
      <c r="E326" s="396"/>
      <c r="F326" s="386"/>
    </row>
    <row r="327" spans="1:6" ht="22.5">
      <c r="A327" s="400"/>
      <c r="B327" s="394"/>
      <c r="C327" s="395"/>
      <c r="D327" s="383"/>
      <c r="E327" s="396"/>
      <c r="F327" s="386"/>
    </row>
    <row r="328" spans="1:6" ht="22.5">
      <c r="A328" s="397" t="s">
        <v>332</v>
      </c>
      <c r="B328" s="395"/>
      <c r="C328" s="395"/>
      <c r="D328" s="383"/>
      <c r="E328" s="395"/>
      <c r="F328" s="379"/>
    </row>
    <row r="329" spans="1:6" ht="22.5">
      <c r="A329" s="397"/>
      <c r="B329" s="395"/>
      <c r="C329" s="395"/>
      <c r="D329" s="383"/>
      <c r="E329" s="395"/>
      <c r="F329" s="379"/>
    </row>
    <row r="330" spans="1:6" ht="22.5">
      <c r="A330" s="692"/>
      <c r="B330" s="693"/>
      <c r="C330" s="693"/>
      <c r="D330" s="693"/>
      <c r="E330" s="693"/>
      <c r="F330" s="694"/>
    </row>
    <row r="331" spans="1:6" ht="22.5">
      <c r="A331" s="397"/>
      <c r="B331" s="394"/>
      <c r="C331" s="395"/>
      <c r="D331" s="383"/>
      <c r="E331" s="396"/>
      <c r="F331" s="386"/>
    </row>
    <row r="332" spans="1:6" ht="22.5">
      <c r="A332" s="388"/>
      <c r="B332" s="401"/>
      <c r="C332" s="401"/>
      <c r="D332" s="401"/>
      <c r="E332" s="401"/>
      <c r="F332" s="402"/>
    </row>
    <row r="343" spans="1:6" ht="22.5">
      <c r="A343" s="695" t="s">
        <v>533</v>
      </c>
      <c r="B343" s="695"/>
      <c r="C343" s="695"/>
      <c r="D343" s="695"/>
      <c r="E343" s="695"/>
      <c r="F343" s="695"/>
    </row>
    <row r="344" spans="1:6" ht="22.5">
      <c r="A344" s="695" t="s">
        <v>639</v>
      </c>
      <c r="B344" s="695"/>
      <c r="C344" s="695"/>
      <c r="D344" s="695"/>
      <c r="E344" s="695"/>
      <c r="F344" s="695"/>
    </row>
    <row r="345" spans="1:6" ht="22.5">
      <c r="A345" s="696" t="s">
        <v>330</v>
      </c>
      <c r="B345" s="696"/>
      <c r="C345" s="696"/>
      <c r="D345" s="696"/>
      <c r="E345" s="696"/>
      <c r="F345" s="696"/>
    </row>
    <row r="346" spans="1:6" ht="22.5">
      <c r="A346" s="371" t="s">
        <v>322</v>
      </c>
      <c r="B346" s="371"/>
      <c r="C346" s="371"/>
      <c r="D346" s="371"/>
      <c r="E346" s="371"/>
      <c r="F346" s="371"/>
    </row>
    <row r="347" spans="1:6" ht="22.5">
      <c r="A347" s="372" t="s">
        <v>35</v>
      </c>
      <c r="B347" s="373" t="s">
        <v>34</v>
      </c>
      <c r="C347" s="697" t="s">
        <v>323</v>
      </c>
      <c r="D347" s="698"/>
      <c r="E347" s="697" t="s">
        <v>37</v>
      </c>
      <c r="F347" s="698"/>
    </row>
    <row r="348" spans="1:6" ht="22.5">
      <c r="A348" s="374" t="s">
        <v>43</v>
      </c>
      <c r="B348" s="375"/>
      <c r="C348" s="376">
        <v>10608</v>
      </c>
      <c r="D348" s="377" t="s">
        <v>52</v>
      </c>
      <c r="E348" s="378"/>
      <c r="F348" s="379"/>
    </row>
    <row r="349" spans="1:6" ht="22.5">
      <c r="A349" s="380" t="s">
        <v>543</v>
      </c>
      <c r="B349" s="381"/>
      <c r="C349" s="382"/>
      <c r="D349" s="383"/>
      <c r="E349" s="384">
        <f>C348</f>
        <v>10608</v>
      </c>
      <c r="F349" s="381" t="s">
        <v>52</v>
      </c>
    </row>
    <row r="350" spans="1:6" ht="22.5">
      <c r="A350" s="374"/>
      <c r="B350" s="381"/>
      <c r="C350" s="382"/>
      <c r="D350" s="383"/>
      <c r="E350" s="385"/>
      <c r="F350" s="386"/>
    </row>
    <row r="351" spans="1:6" ht="22.5">
      <c r="A351" s="374"/>
      <c r="B351" s="381"/>
      <c r="C351" s="385"/>
      <c r="D351" s="383"/>
      <c r="E351" s="385"/>
      <c r="F351" s="386"/>
    </row>
    <row r="352" spans="1:6" ht="22.5">
      <c r="A352" s="374"/>
      <c r="B352" s="381"/>
      <c r="C352" s="385"/>
      <c r="D352" s="383"/>
      <c r="E352" s="385"/>
      <c r="F352" s="386"/>
    </row>
    <row r="353" spans="1:6" ht="22.5">
      <c r="A353" s="374"/>
      <c r="B353" s="381"/>
      <c r="C353" s="385"/>
      <c r="D353" s="383"/>
      <c r="E353" s="385"/>
      <c r="F353" s="386"/>
    </row>
    <row r="354" spans="1:6" ht="22.5">
      <c r="A354" s="387"/>
      <c r="B354" s="381"/>
      <c r="C354" s="382"/>
      <c r="D354" s="383"/>
      <c r="E354" s="385"/>
      <c r="F354" s="386"/>
    </row>
    <row r="355" spans="1:6" ht="22.5">
      <c r="A355" s="374"/>
      <c r="B355" s="381"/>
      <c r="C355" s="382"/>
      <c r="D355" s="383"/>
      <c r="E355" s="385"/>
      <c r="F355" s="386"/>
    </row>
    <row r="356" spans="1:6" ht="22.5">
      <c r="A356" s="374"/>
      <c r="B356" s="381"/>
      <c r="C356" s="374"/>
      <c r="D356" s="383"/>
      <c r="E356" s="382"/>
      <c r="F356" s="386"/>
    </row>
    <row r="357" spans="1:6" ht="22.5">
      <c r="A357" s="388"/>
      <c r="B357" s="389"/>
      <c r="C357" s="390"/>
      <c r="D357" s="391"/>
      <c r="E357" s="392"/>
      <c r="F357" s="391"/>
    </row>
    <row r="358" spans="1:6" ht="22.5">
      <c r="A358" s="393" t="s">
        <v>331</v>
      </c>
      <c r="B358" s="394"/>
      <c r="C358" s="395"/>
      <c r="D358" s="383"/>
      <c r="E358" s="396"/>
      <c r="F358" s="386"/>
    </row>
    <row r="359" spans="1:6" ht="22.5">
      <c r="A359" s="692" t="s">
        <v>643</v>
      </c>
      <c r="B359" s="693"/>
      <c r="C359" s="693"/>
      <c r="D359" s="693"/>
      <c r="E359" s="693"/>
      <c r="F359" s="694"/>
    </row>
    <row r="360" spans="1:6" ht="22.5">
      <c r="A360" s="397" t="s">
        <v>642</v>
      </c>
      <c r="B360" s="394"/>
      <c r="C360" s="395"/>
      <c r="D360" s="383"/>
      <c r="E360" s="396"/>
      <c r="F360" s="386"/>
    </row>
    <row r="361" spans="1:6" ht="22.5">
      <c r="A361" s="398"/>
      <c r="B361" s="399"/>
      <c r="C361" s="395"/>
      <c r="D361" s="383"/>
      <c r="E361" s="396"/>
      <c r="F361" s="386"/>
    </row>
    <row r="362" spans="1:6" ht="22.5">
      <c r="A362" s="398"/>
      <c r="B362" s="399"/>
      <c r="C362" s="395"/>
      <c r="D362" s="383"/>
      <c r="E362" s="396"/>
      <c r="F362" s="386"/>
    </row>
    <row r="363" spans="1:6" ht="22.5">
      <c r="A363" s="398"/>
      <c r="B363" s="399"/>
      <c r="C363" s="395"/>
      <c r="D363" s="383"/>
      <c r="E363" s="396"/>
      <c r="F363" s="386"/>
    </row>
    <row r="364" spans="1:6" ht="22.5">
      <c r="A364" s="400"/>
      <c r="B364" s="394"/>
      <c r="C364" s="395"/>
      <c r="D364" s="383"/>
      <c r="E364" s="396"/>
      <c r="F364" s="386"/>
    </row>
    <row r="365" spans="1:6" ht="22.5">
      <c r="A365" s="400"/>
      <c r="B365" s="394"/>
      <c r="C365" s="395"/>
      <c r="D365" s="383"/>
      <c r="E365" s="396"/>
      <c r="F365" s="386"/>
    </row>
    <row r="366" spans="1:6" ht="22.5">
      <c r="A366" s="397" t="s">
        <v>332</v>
      </c>
      <c r="B366" s="395"/>
      <c r="C366" s="395"/>
      <c r="D366" s="383"/>
      <c r="E366" s="395"/>
      <c r="F366" s="379"/>
    </row>
    <row r="367" spans="1:6" ht="22.5">
      <c r="A367" s="397"/>
      <c r="B367" s="395"/>
      <c r="C367" s="395"/>
      <c r="D367" s="383"/>
      <c r="E367" s="395"/>
      <c r="F367" s="379"/>
    </row>
    <row r="368" spans="1:6" ht="22.5">
      <c r="A368" s="692"/>
      <c r="B368" s="693"/>
      <c r="C368" s="693"/>
      <c r="D368" s="693"/>
      <c r="E368" s="693"/>
      <c r="F368" s="694"/>
    </row>
    <row r="369" spans="1:6" ht="22.5">
      <c r="A369" s="397"/>
      <c r="B369" s="394"/>
      <c r="C369" s="395"/>
      <c r="D369" s="383"/>
      <c r="E369" s="396"/>
      <c r="F369" s="386"/>
    </row>
    <row r="370" spans="1:6" ht="22.5">
      <c r="A370" s="388"/>
      <c r="B370" s="401"/>
      <c r="C370" s="401"/>
      <c r="D370" s="401"/>
      <c r="E370" s="401"/>
      <c r="F370" s="402"/>
    </row>
  </sheetData>
  <sheetProtection/>
  <mergeCells count="74">
    <mergeCell ref="A1:F1"/>
    <mergeCell ref="A2:F2"/>
    <mergeCell ref="A3:F3"/>
    <mergeCell ref="C5:D5"/>
    <mergeCell ref="E5:F5"/>
    <mergeCell ref="A61:F61"/>
    <mergeCell ref="A17:F17"/>
    <mergeCell ref="A55:F55"/>
    <mergeCell ref="A23:F23"/>
    <mergeCell ref="A39:F39"/>
    <mergeCell ref="A268:F268"/>
    <mergeCell ref="A131:F131"/>
    <mergeCell ref="A269:F269"/>
    <mergeCell ref="C271:D271"/>
    <mergeCell ref="E271:F271"/>
    <mergeCell ref="A229:F229"/>
    <mergeCell ref="A230:F230"/>
    <mergeCell ref="A231:F231"/>
    <mergeCell ref="A192:F192"/>
    <mergeCell ref="A154:F154"/>
    <mergeCell ref="A40:F40"/>
    <mergeCell ref="A41:F41"/>
    <mergeCell ref="C43:D43"/>
    <mergeCell ref="E43:F43"/>
    <mergeCell ref="A64:F64"/>
    <mergeCell ref="A77:F77"/>
    <mergeCell ref="A78:F78"/>
    <mergeCell ref="A79:F79"/>
    <mergeCell ref="C81:D81"/>
    <mergeCell ref="E81:F81"/>
    <mergeCell ref="A93:F93"/>
    <mergeCell ref="A102:F102"/>
    <mergeCell ref="A115:F115"/>
    <mergeCell ref="A116:F116"/>
    <mergeCell ref="A117:F117"/>
    <mergeCell ref="C119:D119"/>
    <mergeCell ref="E119:F119"/>
    <mergeCell ref="A140:F140"/>
    <mergeCell ref="C157:D157"/>
    <mergeCell ref="E157:F157"/>
    <mergeCell ref="A169:F169"/>
    <mergeCell ref="A153:F153"/>
    <mergeCell ref="A178:F178"/>
    <mergeCell ref="A191:F191"/>
    <mergeCell ref="A155:F155"/>
    <mergeCell ref="A193:F193"/>
    <mergeCell ref="C195:D195"/>
    <mergeCell ref="E195:F195"/>
    <mergeCell ref="A209:F209"/>
    <mergeCell ref="A218:F218"/>
    <mergeCell ref="A305:F305"/>
    <mergeCell ref="A283:F283"/>
    <mergeCell ref="A289:F289"/>
    <mergeCell ref="A251:F251"/>
    <mergeCell ref="A262:F262"/>
    <mergeCell ref="A306:F306"/>
    <mergeCell ref="A307:F307"/>
    <mergeCell ref="C309:D309"/>
    <mergeCell ref="E309:F309"/>
    <mergeCell ref="C233:D233"/>
    <mergeCell ref="E233:F233"/>
    <mergeCell ref="A245:F245"/>
    <mergeCell ref="A263:F263"/>
    <mergeCell ref="A264:F264"/>
    <mergeCell ref="A267:F267"/>
    <mergeCell ref="A359:F359"/>
    <mergeCell ref="A368:F368"/>
    <mergeCell ref="A321:F321"/>
    <mergeCell ref="A330:F330"/>
    <mergeCell ref="A343:F343"/>
    <mergeCell ref="A344:F344"/>
    <mergeCell ref="A345:F345"/>
    <mergeCell ref="C347:D347"/>
    <mergeCell ref="E347:F347"/>
  </mergeCells>
  <printOptions/>
  <pageMargins left="0.5118110236220472" right="0.4724409448818898" top="0.6299212598425197" bottom="0.984251968503937" header="0.2755905511811024" footer="0.5118110236220472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197"/>
  <sheetViews>
    <sheetView view="pageBreakPreview" zoomScaleSheetLayoutView="100" workbookViewId="0" topLeftCell="A178">
      <selection activeCell="F182" sqref="F182"/>
    </sheetView>
  </sheetViews>
  <sheetFormatPr defaultColWidth="9.140625" defaultRowHeight="21.75"/>
  <cols>
    <col min="1" max="1" width="48.421875" style="352" customWidth="1"/>
    <col min="2" max="2" width="10.57421875" style="352" customWidth="1"/>
    <col min="3" max="3" width="16.7109375" style="352" customWidth="1"/>
    <col min="4" max="4" width="16.421875" style="352" customWidth="1"/>
    <col min="5" max="5" width="29.421875" style="352" bestFit="1" customWidth="1"/>
    <col min="6" max="7" width="20.421875" style="352" bestFit="1" customWidth="1"/>
    <col min="8" max="16384" width="9.140625" style="352" customWidth="1"/>
  </cols>
  <sheetData>
    <row r="1" spans="1:4" ht="23.25">
      <c r="A1" s="700" t="s">
        <v>414</v>
      </c>
      <c r="B1" s="700"/>
      <c r="C1" s="700"/>
      <c r="D1" s="700"/>
    </row>
    <row r="2" spans="1:4" ht="23.25">
      <c r="A2" s="700" t="s">
        <v>413</v>
      </c>
      <c r="B2" s="700"/>
      <c r="C2" s="700"/>
      <c r="D2" s="700"/>
    </row>
    <row r="3" spans="1:4" ht="23.25">
      <c r="A3" s="701" t="s">
        <v>401</v>
      </c>
      <c r="B3" s="701"/>
      <c r="C3" s="701"/>
      <c r="D3" s="701"/>
    </row>
    <row r="4" spans="1:4" ht="23.25">
      <c r="A4" s="351" t="s">
        <v>322</v>
      </c>
      <c r="B4" s="351"/>
      <c r="C4" s="351"/>
      <c r="D4" s="351"/>
    </row>
    <row r="5" spans="1:4" ht="23.25">
      <c r="A5" s="353" t="s">
        <v>35</v>
      </c>
      <c r="B5" s="354" t="s">
        <v>34</v>
      </c>
      <c r="C5" s="354" t="s">
        <v>323</v>
      </c>
      <c r="D5" s="354" t="s">
        <v>37</v>
      </c>
    </row>
    <row r="6" spans="1:5" ht="23.25">
      <c r="A6" s="193" t="s">
        <v>402</v>
      </c>
      <c r="B6" s="355"/>
      <c r="C6" s="356">
        <v>74947</v>
      </c>
      <c r="D6" s="357"/>
      <c r="E6" s="370"/>
    </row>
    <row r="7" spans="1:4" ht="23.25">
      <c r="A7" s="193" t="s">
        <v>403</v>
      </c>
      <c r="B7" s="355"/>
      <c r="C7" s="356">
        <v>2134332.14</v>
      </c>
      <c r="D7" s="357"/>
    </row>
    <row r="8" spans="1:4" ht="23.25">
      <c r="A8" s="193" t="s">
        <v>405</v>
      </c>
      <c r="B8" s="355"/>
      <c r="C8" s="356">
        <v>7000</v>
      </c>
      <c r="D8" s="357"/>
    </row>
    <row r="9" spans="1:4" ht="22.5" customHeight="1">
      <c r="A9" s="193" t="s">
        <v>38</v>
      </c>
      <c r="B9" s="196"/>
      <c r="C9" s="356">
        <v>86034</v>
      </c>
      <c r="D9" s="357"/>
    </row>
    <row r="10" spans="1:4" ht="23.25">
      <c r="A10" s="445" t="s">
        <v>114</v>
      </c>
      <c r="B10" s="196"/>
      <c r="C10" s="356"/>
      <c r="D10" s="357">
        <v>2213186.55</v>
      </c>
    </row>
    <row r="11" spans="1:4" ht="23.25">
      <c r="A11" s="445" t="s">
        <v>38</v>
      </c>
      <c r="B11" s="196"/>
      <c r="C11" s="356"/>
      <c r="D11" s="357">
        <v>81947</v>
      </c>
    </row>
    <row r="12" spans="1:4" ht="23.25">
      <c r="A12" s="445" t="s">
        <v>406</v>
      </c>
      <c r="B12" s="196"/>
      <c r="C12" s="356"/>
      <c r="D12" s="357">
        <v>13.45</v>
      </c>
    </row>
    <row r="13" spans="1:4" ht="23.25">
      <c r="A13" s="445" t="s">
        <v>407</v>
      </c>
      <c r="B13" s="196"/>
      <c r="C13" s="356"/>
      <c r="D13" s="357">
        <v>16.14</v>
      </c>
    </row>
    <row r="14" spans="1:4" ht="23.25">
      <c r="A14" s="445" t="s">
        <v>409</v>
      </c>
      <c r="B14" s="196"/>
      <c r="C14" s="356"/>
      <c r="D14" s="357">
        <v>7000</v>
      </c>
    </row>
    <row r="15" spans="1:4" ht="23.25">
      <c r="A15" s="445" t="s">
        <v>367</v>
      </c>
      <c r="B15" s="196"/>
      <c r="C15" s="356"/>
      <c r="D15" s="357">
        <v>150</v>
      </c>
    </row>
    <row r="16" spans="1:5" ht="23.25">
      <c r="A16" s="445"/>
      <c r="B16" s="355"/>
      <c r="C16" s="495">
        <f>SUM(C6:C15)</f>
        <v>2302313.14</v>
      </c>
      <c r="D16" s="496">
        <f>SUM(D10:D15)</f>
        <v>2302313.14</v>
      </c>
      <c r="E16" s="494">
        <f>C16-D16</f>
        <v>0</v>
      </c>
    </row>
    <row r="17" spans="1:5" ht="23.25">
      <c r="A17" s="193"/>
      <c r="B17" s="196"/>
      <c r="C17" s="357"/>
      <c r="D17" s="493"/>
      <c r="E17" s="370"/>
    </row>
    <row r="18" spans="1:4" ht="23.25">
      <c r="A18" s="360" t="s">
        <v>415</v>
      </c>
      <c r="B18" s="361"/>
      <c r="C18" s="361"/>
      <c r="D18" s="362"/>
    </row>
    <row r="19" spans="1:4" ht="23.25">
      <c r="A19" s="363"/>
      <c r="B19" s="54"/>
      <c r="C19" s="54"/>
      <c r="D19" s="364"/>
    </row>
    <row r="20" spans="1:4" ht="23.25">
      <c r="A20" s="363"/>
      <c r="B20" s="54"/>
      <c r="C20" s="54"/>
      <c r="D20" s="364"/>
    </row>
    <row r="21" spans="1:4" ht="23.25">
      <c r="A21" s="363"/>
      <c r="B21" s="54"/>
      <c r="C21" s="431"/>
      <c r="D21" s="364"/>
    </row>
    <row r="22" spans="1:4" ht="20.25">
      <c r="A22" s="497"/>
      <c r="B22" s="498"/>
      <c r="C22" s="498"/>
      <c r="D22" s="499"/>
    </row>
    <row r="23" spans="1:4" ht="23.25">
      <c r="A23" s="208" t="s">
        <v>439</v>
      </c>
      <c r="B23" s="54"/>
      <c r="C23" s="54"/>
      <c r="D23" s="432"/>
    </row>
    <row r="24" spans="1:4" ht="23.25">
      <c r="A24" s="208"/>
      <c r="B24" s="54"/>
      <c r="C24" s="54"/>
      <c r="D24" s="432"/>
    </row>
    <row r="25" spans="1:4" ht="23.25">
      <c r="A25" s="208"/>
      <c r="B25" s="54"/>
      <c r="C25" s="54"/>
      <c r="D25" s="432"/>
    </row>
    <row r="26" spans="1:4" ht="23.25">
      <c r="A26" s="208"/>
      <c r="B26" s="54"/>
      <c r="C26" s="54"/>
      <c r="D26" s="432"/>
    </row>
    <row r="27" spans="1:4" ht="23.25">
      <c r="A27" s="208"/>
      <c r="B27" s="54"/>
      <c r="C27" s="54"/>
      <c r="D27" s="366"/>
    </row>
    <row r="28" spans="1:4" ht="23.25">
      <c r="A28" s="367"/>
      <c r="B28" s="368"/>
      <c r="C28" s="368"/>
      <c r="D28" s="369"/>
    </row>
    <row r="35" spans="1:4" ht="23.25">
      <c r="A35" s="700" t="s">
        <v>426</v>
      </c>
      <c r="B35" s="700"/>
      <c r="C35" s="700"/>
      <c r="D35" s="700"/>
    </row>
    <row r="36" spans="1:4" ht="23.25">
      <c r="A36" s="700" t="s">
        <v>424</v>
      </c>
      <c r="B36" s="700"/>
      <c r="C36" s="700"/>
      <c r="D36" s="700"/>
    </row>
    <row r="37" spans="1:4" ht="23.25">
      <c r="A37" s="701" t="s">
        <v>401</v>
      </c>
      <c r="B37" s="701"/>
      <c r="C37" s="701"/>
      <c r="D37" s="701"/>
    </row>
    <row r="38" spans="1:4" ht="23.25">
      <c r="A38" s="351" t="s">
        <v>322</v>
      </c>
      <c r="B38" s="351"/>
      <c r="C38" s="351"/>
      <c r="D38" s="351"/>
    </row>
    <row r="39" spans="1:4" ht="23.25">
      <c r="A39" s="353" t="s">
        <v>35</v>
      </c>
      <c r="B39" s="354" t="s">
        <v>34</v>
      </c>
      <c r="C39" s="354" t="s">
        <v>323</v>
      </c>
      <c r="D39" s="354" t="s">
        <v>37</v>
      </c>
    </row>
    <row r="40" spans="1:4" ht="23.25">
      <c r="A40" s="193" t="s">
        <v>402</v>
      </c>
      <c r="B40" s="355"/>
      <c r="C40" s="356">
        <v>78605</v>
      </c>
      <c r="D40" s="357"/>
    </row>
    <row r="41" spans="1:4" ht="23.25">
      <c r="A41" s="193" t="s">
        <v>403</v>
      </c>
      <c r="B41" s="355"/>
      <c r="C41" s="356">
        <v>2586677.9</v>
      </c>
      <c r="D41" s="357"/>
    </row>
    <row r="42" spans="1:4" ht="23.25">
      <c r="A42" s="193" t="s">
        <v>405</v>
      </c>
      <c r="B42" s="355"/>
      <c r="C42" s="356">
        <v>20000</v>
      </c>
      <c r="D42" s="357"/>
    </row>
    <row r="43" spans="1:4" ht="23.25">
      <c r="A43" s="193" t="s">
        <v>416</v>
      </c>
      <c r="B43" s="355"/>
      <c r="C43" s="356">
        <v>350</v>
      </c>
      <c r="D43" s="357"/>
    </row>
    <row r="44" spans="1:4" ht="23.25">
      <c r="A44" s="193" t="s">
        <v>38</v>
      </c>
      <c r="B44" s="196"/>
      <c r="C44" s="356">
        <v>126578</v>
      </c>
      <c r="D44" s="357"/>
    </row>
    <row r="45" spans="1:4" ht="23.25">
      <c r="A45" s="445" t="s">
        <v>114</v>
      </c>
      <c r="B45" s="196"/>
      <c r="C45" s="356"/>
      <c r="D45" s="357">
        <v>835689.42</v>
      </c>
    </row>
    <row r="46" spans="1:4" ht="23.25">
      <c r="A46" s="445" t="s">
        <v>417</v>
      </c>
      <c r="B46" s="196"/>
      <c r="C46" s="356"/>
      <c r="D46" s="357">
        <v>1757700</v>
      </c>
    </row>
    <row r="47" spans="1:4" ht="23.25">
      <c r="A47" s="445" t="s">
        <v>418</v>
      </c>
      <c r="B47" s="196"/>
      <c r="C47" s="356"/>
      <c r="D47" s="357"/>
    </row>
    <row r="48" spans="1:4" ht="23.25">
      <c r="A48" s="445" t="s">
        <v>38</v>
      </c>
      <c r="B48" s="196"/>
      <c r="C48" s="356"/>
      <c r="D48" s="357">
        <v>98955</v>
      </c>
    </row>
    <row r="49" spans="1:4" ht="23.25">
      <c r="A49" s="445" t="s">
        <v>406</v>
      </c>
      <c r="B49" s="196"/>
      <c r="C49" s="356"/>
      <c r="D49" s="357">
        <v>63.6</v>
      </c>
    </row>
    <row r="50" spans="1:4" ht="23.25">
      <c r="A50" s="445" t="s">
        <v>407</v>
      </c>
      <c r="B50" s="196"/>
      <c r="C50" s="356"/>
      <c r="D50" s="357">
        <v>76.32</v>
      </c>
    </row>
    <row r="51" spans="1:4" ht="23.25">
      <c r="A51" s="445" t="s">
        <v>409</v>
      </c>
      <c r="B51" s="196"/>
      <c r="C51" s="356"/>
      <c r="D51" s="357">
        <v>20000</v>
      </c>
    </row>
    <row r="52" spans="1:4" ht="23.25">
      <c r="A52" s="445" t="s">
        <v>367</v>
      </c>
      <c r="B52" s="196"/>
      <c r="C52" s="356"/>
      <c r="D52" s="357">
        <v>300</v>
      </c>
    </row>
    <row r="53" spans="1:4" ht="23.25">
      <c r="A53" s="445" t="s">
        <v>408</v>
      </c>
      <c r="B53" s="196"/>
      <c r="C53" s="356"/>
      <c r="D53" s="357">
        <v>13950</v>
      </c>
    </row>
    <row r="54" spans="1:4" ht="23.25">
      <c r="A54" s="445" t="s">
        <v>419</v>
      </c>
      <c r="B54" s="196"/>
      <c r="C54" s="356"/>
      <c r="D54" s="357">
        <v>39210</v>
      </c>
    </row>
    <row r="55" spans="1:4" ht="23.25">
      <c r="A55" s="445" t="s">
        <v>420</v>
      </c>
      <c r="B55" s="196"/>
      <c r="C55" s="356"/>
      <c r="D55" s="357">
        <v>3350</v>
      </c>
    </row>
    <row r="56" spans="1:4" ht="23.25">
      <c r="A56" s="445" t="s">
        <v>421</v>
      </c>
      <c r="B56" s="196"/>
      <c r="C56" s="356"/>
      <c r="D56" s="357">
        <v>18416.56</v>
      </c>
    </row>
    <row r="57" spans="1:4" ht="23.25">
      <c r="A57" s="445" t="s">
        <v>47</v>
      </c>
      <c r="B57" s="196"/>
      <c r="C57" s="356"/>
      <c r="D57" s="357">
        <v>14500</v>
      </c>
    </row>
    <row r="58" spans="1:4" ht="23.25">
      <c r="A58" s="445" t="s">
        <v>422</v>
      </c>
      <c r="B58" s="196"/>
      <c r="C58" s="356"/>
      <c r="D58" s="357">
        <v>10000</v>
      </c>
    </row>
    <row r="59" spans="1:5" ht="23.25">
      <c r="A59" s="445"/>
      <c r="B59" s="355"/>
      <c r="C59" s="500">
        <f>SUM(C40:C50)</f>
        <v>2812210.9</v>
      </c>
      <c r="D59" s="501">
        <f>SUM(D45:D58)</f>
        <v>2812210.9</v>
      </c>
      <c r="E59" s="492">
        <f>C59-D59</f>
        <v>0</v>
      </c>
    </row>
    <row r="60" spans="1:5" ht="23.25">
      <c r="A60" s="193"/>
      <c r="B60" s="196"/>
      <c r="C60" s="357"/>
      <c r="D60" s="493"/>
      <c r="E60" s="502"/>
    </row>
    <row r="61" spans="1:4" ht="23.25">
      <c r="A61" s="360" t="s">
        <v>423</v>
      </c>
      <c r="B61" s="361"/>
      <c r="C61" s="361"/>
      <c r="D61" s="362"/>
    </row>
    <row r="62" spans="1:4" ht="20.25">
      <c r="A62" s="497"/>
      <c r="B62" s="498"/>
      <c r="C62" s="498"/>
      <c r="D62" s="499"/>
    </row>
    <row r="63" spans="1:4" ht="23.25">
      <c r="A63" s="208" t="s">
        <v>439</v>
      </c>
      <c r="B63" s="54"/>
      <c r="C63" s="54"/>
      <c r="D63" s="432"/>
    </row>
    <row r="64" spans="1:4" ht="23.25">
      <c r="A64" s="208"/>
      <c r="B64" s="54"/>
      <c r="C64" s="54"/>
      <c r="D64" s="432"/>
    </row>
    <row r="65" spans="1:4" ht="23.25">
      <c r="A65" s="208"/>
      <c r="B65" s="54"/>
      <c r="C65" s="54"/>
      <c r="D65" s="432"/>
    </row>
    <row r="66" spans="1:4" ht="23.25">
      <c r="A66" s="208"/>
      <c r="B66" s="54"/>
      <c r="C66" s="54"/>
      <c r="D66" s="366"/>
    </row>
    <row r="67" spans="1:4" ht="23.25">
      <c r="A67" s="367"/>
      <c r="B67" s="368"/>
      <c r="C67" s="368"/>
      <c r="D67" s="369"/>
    </row>
    <row r="69" spans="1:4" ht="23.25">
      <c r="A69" s="700" t="s">
        <v>432</v>
      </c>
      <c r="B69" s="700"/>
      <c r="C69" s="700"/>
      <c r="D69" s="700"/>
    </row>
    <row r="70" spans="1:4" ht="23.25">
      <c r="A70" s="700" t="s">
        <v>425</v>
      </c>
      <c r="B70" s="700"/>
      <c r="C70" s="700"/>
      <c r="D70" s="700"/>
    </row>
    <row r="71" spans="1:4" ht="23.25">
      <c r="A71" s="701" t="s">
        <v>401</v>
      </c>
      <c r="B71" s="701"/>
      <c r="C71" s="701"/>
      <c r="D71" s="701"/>
    </row>
    <row r="72" spans="1:4" ht="23.25">
      <c r="A72" s="351" t="s">
        <v>322</v>
      </c>
      <c r="B72" s="351"/>
      <c r="C72" s="351"/>
      <c r="D72" s="351"/>
    </row>
    <row r="73" spans="1:4" ht="23.25">
      <c r="A73" s="353" t="s">
        <v>35</v>
      </c>
      <c r="B73" s="354" t="s">
        <v>34</v>
      </c>
      <c r="C73" s="354" t="s">
        <v>323</v>
      </c>
      <c r="D73" s="354" t="s">
        <v>37</v>
      </c>
    </row>
    <row r="74" spans="1:4" ht="23.25">
      <c r="A74" s="193" t="s">
        <v>402</v>
      </c>
      <c r="B74" s="355"/>
      <c r="C74" s="356">
        <v>105351.5</v>
      </c>
      <c r="D74" s="357"/>
    </row>
    <row r="75" spans="1:4" ht="23.25">
      <c r="A75" s="193" t="s">
        <v>403</v>
      </c>
      <c r="B75" s="355"/>
      <c r="C75" s="356">
        <v>2237521.57</v>
      </c>
      <c r="D75" s="357"/>
    </row>
    <row r="76" spans="1:4" ht="23.25">
      <c r="A76" s="193" t="s">
        <v>405</v>
      </c>
      <c r="B76" s="355"/>
      <c r="C76" s="356">
        <v>148001</v>
      </c>
      <c r="D76" s="357"/>
    </row>
    <row r="77" spans="1:4" ht="23.25">
      <c r="A77" s="193" t="s">
        <v>404</v>
      </c>
      <c r="B77" s="355"/>
      <c r="C77" s="356">
        <v>14893.1</v>
      </c>
      <c r="D77" s="357"/>
    </row>
    <row r="78" spans="1:4" ht="23.25">
      <c r="A78" s="193" t="s">
        <v>38</v>
      </c>
      <c r="B78" s="196"/>
      <c r="C78" s="356">
        <v>229193.5</v>
      </c>
      <c r="D78" s="357"/>
    </row>
    <row r="79" spans="1:4" ht="23.25">
      <c r="A79" s="445" t="s">
        <v>114</v>
      </c>
      <c r="B79" s="196"/>
      <c r="C79" s="356"/>
      <c r="D79" s="357">
        <v>2302976.39</v>
      </c>
    </row>
    <row r="80" spans="1:4" ht="23.25">
      <c r="A80" s="445" t="s">
        <v>422</v>
      </c>
      <c r="B80" s="196"/>
      <c r="C80" s="356"/>
      <c r="D80" s="357">
        <v>2500</v>
      </c>
    </row>
    <row r="81" spans="1:4" ht="23.25">
      <c r="A81" s="445" t="s">
        <v>429</v>
      </c>
      <c r="B81" s="196"/>
      <c r="C81" s="356"/>
      <c r="D81" s="357">
        <v>5500</v>
      </c>
    </row>
    <row r="82" spans="1:4" ht="23.25">
      <c r="A82" s="445" t="s">
        <v>38</v>
      </c>
      <c r="B82" s="196"/>
      <c r="C82" s="356"/>
      <c r="D82" s="357">
        <v>253352.5</v>
      </c>
    </row>
    <row r="83" spans="1:4" ht="23.25">
      <c r="A83" s="445" t="s">
        <v>366</v>
      </c>
      <c r="B83" s="196"/>
      <c r="C83" s="356"/>
      <c r="D83" s="357">
        <v>84</v>
      </c>
    </row>
    <row r="84" spans="1:4" ht="23.25">
      <c r="A84" s="445" t="s">
        <v>430</v>
      </c>
      <c r="B84" s="196"/>
      <c r="C84" s="356"/>
      <c r="D84" s="357">
        <v>767</v>
      </c>
    </row>
    <row r="85" spans="1:4" ht="23.25">
      <c r="A85" s="445" t="s">
        <v>421</v>
      </c>
      <c r="B85" s="196"/>
      <c r="C85" s="356"/>
      <c r="D85" s="357">
        <v>9208.28</v>
      </c>
    </row>
    <row r="86" spans="1:4" ht="23.25">
      <c r="A86" s="445" t="s">
        <v>367</v>
      </c>
      <c r="B86" s="196"/>
      <c r="C86" s="356"/>
      <c r="D86" s="357">
        <v>565.5</v>
      </c>
    </row>
    <row r="87" spans="1:4" ht="23.25">
      <c r="A87" s="445" t="s">
        <v>437</v>
      </c>
      <c r="B87" s="196"/>
      <c r="C87" s="356"/>
      <c r="D87" s="357">
        <v>160007</v>
      </c>
    </row>
    <row r="88" spans="1:4" ht="23.25">
      <c r="A88" s="445"/>
      <c r="B88" s="196"/>
      <c r="C88" s="356"/>
      <c r="D88" s="357"/>
    </row>
    <row r="89" spans="1:4" ht="23.25">
      <c r="A89" s="193"/>
      <c r="B89" s="196"/>
      <c r="C89" s="357"/>
      <c r="D89" s="493"/>
    </row>
    <row r="90" spans="1:4" ht="23.25">
      <c r="A90" s="360" t="s">
        <v>431</v>
      </c>
      <c r="B90" s="361"/>
      <c r="C90" s="361"/>
      <c r="D90" s="362"/>
    </row>
    <row r="91" spans="1:4" ht="20.25">
      <c r="A91" s="497"/>
      <c r="B91" s="498"/>
      <c r="C91" s="498"/>
      <c r="D91" s="499"/>
    </row>
    <row r="92" spans="1:4" ht="23.25">
      <c r="A92" s="208" t="s">
        <v>439</v>
      </c>
      <c r="B92" s="54"/>
      <c r="C92" s="54"/>
      <c r="D92" s="432"/>
    </row>
    <row r="93" spans="1:4" ht="23.25">
      <c r="A93" s="208"/>
      <c r="B93" s="54"/>
      <c r="C93" s="54"/>
      <c r="D93" s="432"/>
    </row>
    <row r="94" spans="1:4" ht="23.25">
      <c r="A94" s="208"/>
      <c r="B94" s="54"/>
      <c r="C94" s="54"/>
      <c r="D94" s="432"/>
    </row>
    <row r="95" spans="1:4" ht="23.25">
      <c r="A95" s="208"/>
      <c r="B95" s="54"/>
      <c r="C95" s="54"/>
      <c r="D95" s="432"/>
    </row>
    <row r="96" spans="1:4" ht="23.25">
      <c r="A96" s="208"/>
      <c r="B96" s="54"/>
      <c r="C96" s="54"/>
      <c r="D96" s="432"/>
    </row>
    <row r="97" spans="1:4" ht="23.25">
      <c r="A97" s="208"/>
      <c r="B97" s="54"/>
      <c r="C97" s="54"/>
      <c r="D97" s="366"/>
    </row>
    <row r="98" spans="1:4" ht="23.25">
      <c r="A98" s="367"/>
      <c r="B98" s="368"/>
      <c r="C98" s="368"/>
      <c r="D98" s="369"/>
    </row>
    <row r="99" spans="1:4" ht="23.25">
      <c r="A99" s="361"/>
      <c r="B99" s="361"/>
      <c r="C99" s="361"/>
      <c r="D99" s="361"/>
    </row>
    <row r="100" spans="1:4" ht="23.25">
      <c r="A100" s="54"/>
      <c r="B100" s="54"/>
      <c r="C100" s="54"/>
      <c r="D100" s="503"/>
    </row>
    <row r="101" spans="1:4" ht="23.25">
      <c r="A101" s="700" t="s">
        <v>428</v>
      </c>
      <c r="B101" s="700"/>
      <c r="C101" s="700"/>
      <c r="D101" s="700"/>
    </row>
    <row r="102" spans="1:4" ht="23.25">
      <c r="A102" s="700" t="s">
        <v>427</v>
      </c>
      <c r="B102" s="700"/>
      <c r="C102" s="700"/>
      <c r="D102" s="700"/>
    </row>
    <row r="103" spans="1:4" ht="23.25">
      <c r="A103" s="701" t="s">
        <v>401</v>
      </c>
      <c r="B103" s="701"/>
      <c r="C103" s="701"/>
      <c r="D103" s="701"/>
    </row>
    <row r="104" spans="1:4" ht="23.25">
      <c r="A104" s="351" t="s">
        <v>322</v>
      </c>
      <c r="B104" s="351"/>
      <c r="C104" s="351"/>
      <c r="D104" s="351"/>
    </row>
    <row r="105" spans="1:4" ht="23.25">
      <c r="A105" s="353" t="s">
        <v>35</v>
      </c>
      <c r="B105" s="354" t="s">
        <v>34</v>
      </c>
      <c r="C105" s="354" t="s">
        <v>323</v>
      </c>
      <c r="D105" s="354" t="s">
        <v>37</v>
      </c>
    </row>
    <row r="106" spans="1:4" ht="23.25">
      <c r="A106" s="193" t="s">
        <v>402</v>
      </c>
      <c r="B106" s="355"/>
      <c r="C106" s="356">
        <v>340609</v>
      </c>
      <c r="D106" s="357"/>
    </row>
    <row r="107" spans="1:4" ht="23.25">
      <c r="A107" s="193" t="s">
        <v>403</v>
      </c>
      <c r="B107" s="355"/>
      <c r="C107" s="356">
        <v>2098838.59</v>
      </c>
      <c r="D107" s="357"/>
    </row>
    <row r="108" spans="1:4" ht="23.25">
      <c r="A108" s="193" t="s">
        <v>405</v>
      </c>
      <c r="B108" s="355"/>
      <c r="C108" s="356">
        <v>15022</v>
      </c>
      <c r="D108" s="357"/>
    </row>
    <row r="109" spans="1:4" ht="23.25">
      <c r="A109" s="193" t="s">
        <v>433</v>
      </c>
      <c r="B109" s="355"/>
      <c r="C109" s="356">
        <v>426.54</v>
      </c>
      <c r="D109" s="357"/>
    </row>
    <row r="110" spans="1:4" ht="23.25">
      <c r="A110" s="193" t="s">
        <v>416</v>
      </c>
      <c r="B110" s="355"/>
      <c r="C110" s="356">
        <v>700</v>
      </c>
      <c r="D110" s="357"/>
    </row>
    <row r="111" spans="1:4" ht="23.25">
      <c r="A111" s="193" t="s">
        <v>38</v>
      </c>
      <c r="B111" s="196"/>
      <c r="C111" s="356">
        <v>381422</v>
      </c>
      <c r="D111" s="357"/>
    </row>
    <row r="112" spans="1:4" ht="23.25">
      <c r="A112" s="445" t="s">
        <v>114</v>
      </c>
      <c r="B112" s="196"/>
      <c r="C112" s="356"/>
      <c r="D112" s="357">
        <v>938376.87</v>
      </c>
    </row>
    <row r="113" spans="1:4" ht="23.25">
      <c r="A113" s="445" t="s">
        <v>417</v>
      </c>
      <c r="B113" s="196"/>
      <c r="C113" s="356"/>
      <c r="D113" s="357">
        <v>1484000</v>
      </c>
    </row>
    <row r="114" spans="1:4" ht="23.25">
      <c r="A114" s="445" t="s">
        <v>434</v>
      </c>
      <c r="B114" s="196"/>
      <c r="C114" s="356"/>
      <c r="D114" s="357"/>
    </row>
    <row r="115" spans="1:4" ht="23.25">
      <c r="A115" s="445" t="s">
        <v>429</v>
      </c>
      <c r="B115" s="196"/>
      <c r="C115" s="356"/>
      <c r="D115" s="357">
        <v>80</v>
      </c>
    </row>
    <row r="116" spans="1:4" ht="23.25">
      <c r="A116" s="445" t="s">
        <v>435</v>
      </c>
      <c r="B116" s="196"/>
      <c r="C116" s="356"/>
      <c r="D116" s="357">
        <v>1500</v>
      </c>
    </row>
    <row r="117" spans="1:4" ht="23.25">
      <c r="A117" s="445" t="s">
        <v>38</v>
      </c>
      <c r="B117" s="196"/>
      <c r="C117" s="356"/>
      <c r="D117" s="357">
        <v>356331</v>
      </c>
    </row>
    <row r="118" spans="1:4" ht="23.25">
      <c r="A118" s="445" t="s">
        <v>406</v>
      </c>
      <c r="B118" s="196"/>
      <c r="C118" s="356"/>
      <c r="D118" s="357">
        <v>2668.3</v>
      </c>
    </row>
    <row r="119" spans="1:4" ht="23.25">
      <c r="A119" s="445" t="s">
        <v>407</v>
      </c>
      <c r="B119" s="196"/>
      <c r="C119" s="356"/>
      <c r="D119" s="357">
        <v>3201.96</v>
      </c>
    </row>
    <row r="120" spans="1:4" ht="23.25">
      <c r="A120" s="445" t="s">
        <v>409</v>
      </c>
      <c r="B120" s="196"/>
      <c r="C120" s="356"/>
      <c r="D120" s="357">
        <v>10022</v>
      </c>
    </row>
    <row r="121" spans="1:4" ht="23.25">
      <c r="A121" s="445" t="s">
        <v>367</v>
      </c>
      <c r="B121" s="196"/>
      <c r="C121" s="356"/>
      <c r="D121" s="357">
        <v>153</v>
      </c>
    </row>
    <row r="122" spans="1:4" ht="23.25">
      <c r="A122" s="445" t="s">
        <v>408</v>
      </c>
      <c r="B122" s="196"/>
      <c r="C122" s="356"/>
      <c r="D122" s="357">
        <v>31800</v>
      </c>
    </row>
    <row r="123" spans="1:4" ht="23.25">
      <c r="A123" s="445" t="s">
        <v>436</v>
      </c>
      <c r="B123" s="196"/>
      <c r="C123" s="356"/>
      <c r="D123" s="357">
        <v>8885</v>
      </c>
    </row>
    <row r="124" spans="1:4" ht="23.25">
      <c r="A124" s="193"/>
      <c r="B124" s="196"/>
      <c r="C124" s="496">
        <f>SUM(C106:C111)</f>
        <v>2837018.13</v>
      </c>
      <c r="D124" s="504">
        <f>SUM(D112:D123)</f>
        <v>2837018.13</v>
      </c>
    </row>
    <row r="125" spans="1:4" ht="23.25">
      <c r="A125" s="360" t="s">
        <v>438</v>
      </c>
      <c r="B125" s="361"/>
      <c r="C125" s="361"/>
      <c r="D125" s="362"/>
    </row>
    <row r="126" spans="1:4" ht="20.25">
      <c r="A126" s="497"/>
      <c r="B126" s="498"/>
      <c r="C126" s="498"/>
      <c r="D126" s="499"/>
    </row>
    <row r="127" spans="1:4" ht="23.25">
      <c r="A127" s="208" t="s">
        <v>439</v>
      </c>
      <c r="B127" s="54"/>
      <c r="C127" s="54"/>
      <c r="D127" s="432"/>
    </row>
    <row r="128" spans="1:4" ht="23.25">
      <c r="A128" s="208"/>
      <c r="B128" s="54"/>
      <c r="C128" s="54"/>
      <c r="D128" s="432"/>
    </row>
    <row r="129" spans="1:4" ht="23.25">
      <c r="A129" s="208"/>
      <c r="B129" s="54"/>
      <c r="C129" s="54"/>
      <c r="D129" s="366"/>
    </row>
    <row r="130" spans="1:4" ht="23.25">
      <c r="A130" s="367"/>
      <c r="B130" s="368"/>
      <c r="C130" s="368"/>
      <c r="D130" s="369"/>
    </row>
    <row r="136" spans="1:4" ht="23.25">
      <c r="A136" s="700" t="s">
        <v>503</v>
      </c>
      <c r="B136" s="700"/>
      <c r="C136" s="700"/>
      <c r="D136" s="700"/>
    </row>
    <row r="137" spans="1:4" ht="23.25">
      <c r="A137" s="700" t="s">
        <v>502</v>
      </c>
      <c r="B137" s="700"/>
      <c r="C137" s="700"/>
      <c r="D137" s="700"/>
    </row>
    <row r="138" spans="1:4" ht="23.25">
      <c r="A138" s="701" t="s">
        <v>401</v>
      </c>
      <c r="B138" s="701"/>
      <c r="C138" s="701"/>
      <c r="D138" s="701"/>
    </row>
    <row r="139" spans="1:4" ht="23.25">
      <c r="A139" s="351" t="s">
        <v>322</v>
      </c>
      <c r="B139" s="351"/>
      <c r="C139" s="351"/>
      <c r="D139" s="351"/>
    </row>
    <row r="140" spans="1:4" ht="23.25">
      <c r="A140" s="353" t="s">
        <v>35</v>
      </c>
      <c r="B140" s="354" t="s">
        <v>34</v>
      </c>
      <c r="C140" s="354" t="s">
        <v>323</v>
      </c>
      <c r="D140" s="354" t="s">
        <v>37</v>
      </c>
    </row>
    <row r="141" spans="1:4" ht="23.25">
      <c r="A141" s="193" t="s">
        <v>402</v>
      </c>
      <c r="B141" s="355"/>
      <c r="C141" s="356">
        <v>813494.08</v>
      </c>
      <c r="D141" s="357"/>
    </row>
    <row r="142" spans="1:4" ht="23.25">
      <c r="A142" s="193" t="s">
        <v>403</v>
      </c>
      <c r="B142" s="355"/>
      <c r="C142" s="356">
        <v>1002073.42</v>
      </c>
      <c r="D142" s="357"/>
    </row>
    <row r="143" spans="1:4" ht="23.25">
      <c r="A143" s="193" t="s">
        <v>405</v>
      </c>
      <c r="B143" s="355"/>
      <c r="C143" s="356">
        <v>45119</v>
      </c>
      <c r="D143" s="357"/>
    </row>
    <row r="144" spans="1:4" ht="23.25">
      <c r="A144" s="193" t="s">
        <v>38</v>
      </c>
      <c r="B144" s="196"/>
      <c r="C144" s="356">
        <v>893190.08</v>
      </c>
      <c r="D144" s="357"/>
    </row>
    <row r="145" spans="1:4" ht="23.25">
      <c r="A145" s="445" t="s">
        <v>114</v>
      </c>
      <c r="B145" s="196"/>
      <c r="C145" s="356"/>
      <c r="D145" s="357">
        <v>1513749.18</v>
      </c>
    </row>
    <row r="146" spans="1:4" ht="23.25">
      <c r="A146" s="445" t="s">
        <v>417</v>
      </c>
      <c r="B146" s="196"/>
      <c r="C146" s="356"/>
      <c r="D146" s="357">
        <v>68500</v>
      </c>
    </row>
    <row r="147" spans="1:4" ht="23.25">
      <c r="A147" s="445" t="s">
        <v>504</v>
      </c>
      <c r="B147" s="196"/>
      <c r="C147" s="356"/>
      <c r="D147" s="357"/>
    </row>
    <row r="148" spans="1:4" ht="23.25">
      <c r="A148" s="445" t="s">
        <v>429</v>
      </c>
      <c r="B148" s="196"/>
      <c r="C148" s="356"/>
      <c r="D148" s="357">
        <v>240</v>
      </c>
    </row>
    <row r="149" spans="1:4" ht="23.25">
      <c r="A149" s="445" t="s">
        <v>435</v>
      </c>
      <c r="B149" s="196"/>
      <c r="C149" s="356"/>
      <c r="D149" s="357">
        <v>5200</v>
      </c>
    </row>
    <row r="150" spans="1:4" ht="23.25">
      <c r="A150" s="445" t="s">
        <v>38</v>
      </c>
      <c r="B150" s="196"/>
      <c r="C150" s="356"/>
      <c r="D150" s="357">
        <v>858613.08</v>
      </c>
    </row>
    <row r="151" spans="1:4" ht="23.25">
      <c r="A151" s="445" t="s">
        <v>406</v>
      </c>
      <c r="B151" s="196"/>
      <c r="C151" s="356"/>
      <c r="D151" s="357">
        <v>2050.6</v>
      </c>
    </row>
    <row r="152" spans="1:4" ht="23.25">
      <c r="A152" s="445" t="s">
        <v>407</v>
      </c>
      <c r="B152" s="196"/>
      <c r="C152" s="356"/>
      <c r="D152" s="357">
        <v>2460.72</v>
      </c>
    </row>
    <row r="153" spans="1:4" ht="23.25">
      <c r="A153" s="445" t="s">
        <v>409</v>
      </c>
      <c r="B153" s="196"/>
      <c r="C153" s="356"/>
      <c r="D153" s="357">
        <v>45119</v>
      </c>
    </row>
    <row r="154" spans="1:4" ht="23.25">
      <c r="A154" s="445" t="s">
        <v>505</v>
      </c>
      <c r="B154" s="196"/>
      <c r="C154" s="356"/>
      <c r="D154" s="357">
        <v>5000</v>
      </c>
    </row>
    <row r="155" spans="1:4" ht="23.25">
      <c r="A155" s="445" t="s">
        <v>420</v>
      </c>
      <c r="B155" s="196"/>
      <c r="C155" s="356"/>
      <c r="D155" s="357">
        <v>1859</v>
      </c>
    </row>
    <row r="156" spans="1:4" ht="23.25">
      <c r="A156" s="445" t="s">
        <v>506</v>
      </c>
      <c r="B156" s="196"/>
      <c r="C156" s="356"/>
      <c r="D156" s="357">
        <v>229500</v>
      </c>
    </row>
    <row r="157" spans="1:4" ht="23.25">
      <c r="A157" s="445" t="s">
        <v>507</v>
      </c>
      <c r="B157" s="196"/>
      <c r="C157" s="356"/>
      <c r="D157" s="357">
        <v>11585</v>
      </c>
    </row>
    <row r="158" spans="1:4" ht="23.25">
      <c r="A158" s="445" t="s">
        <v>436</v>
      </c>
      <c r="B158" s="196"/>
      <c r="C158" s="356"/>
      <c r="D158" s="357">
        <v>10000</v>
      </c>
    </row>
    <row r="159" spans="1:5" ht="23.25">
      <c r="A159" s="193"/>
      <c r="B159" s="196"/>
      <c r="C159" s="496">
        <f>SUM(C141:C144)</f>
        <v>2753876.58</v>
      </c>
      <c r="D159" s="504">
        <f>SUM(D145:D158)</f>
        <v>2753876.58</v>
      </c>
      <c r="E159" s="535"/>
    </row>
    <row r="160" spans="1:4" ht="23.25">
      <c r="A160" s="360" t="s">
        <v>508</v>
      </c>
      <c r="B160" s="361"/>
      <c r="C160" s="361"/>
      <c r="D160" s="362"/>
    </row>
    <row r="161" spans="1:4" ht="20.25">
      <c r="A161" s="497"/>
      <c r="B161" s="498"/>
      <c r="C161" s="498"/>
      <c r="D161" s="499"/>
    </row>
    <row r="162" spans="1:4" ht="23.25">
      <c r="A162" s="208" t="s">
        <v>439</v>
      </c>
      <c r="B162" s="54"/>
      <c r="C162" s="54"/>
      <c r="D162" s="432"/>
    </row>
    <row r="163" spans="1:4" ht="23.25">
      <c r="A163" s="208"/>
      <c r="B163" s="54"/>
      <c r="C163" s="54"/>
      <c r="D163" s="432"/>
    </row>
    <row r="164" spans="1:4" ht="23.25">
      <c r="A164" s="208"/>
      <c r="B164" s="54"/>
      <c r="C164" s="54"/>
      <c r="D164" s="366"/>
    </row>
    <row r="165" spans="1:4" ht="23.25">
      <c r="A165" s="367"/>
      <c r="B165" s="368"/>
      <c r="C165" s="368"/>
      <c r="D165" s="369"/>
    </row>
    <row r="170" spans="1:4" ht="23.25">
      <c r="A170" s="700" t="s">
        <v>526</v>
      </c>
      <c r="B170" s="700"/>
      <c r="C170" s="700"/>
      <c r="D170" s="700"/>
    </row>
    <row r="171" spans="1:4" ht="23.25">
      <c r="A171" s="700" t="s">
        <v>525</v>
      </c>
      <c r="B171" s="700"/>
      <c r="C171" s="700"/>
      <c r="D171" s="700"/>
    </row>
    <row r="172" spans="1:4" ht="23.25">
      <c r="A172" s="701" t="s">
        <v>401</v>
      </c>
      <c r="B172" s="701"/>
      <c r="C172" s="701"/>
      <c r="D172" s="701"/>
    </row>
    <row r="173" spans="1:4" ht="23.25">
      <c r="A173" s="351" t="s">
        <v>322</v>
      </c>
      <c r="B173" s="351"/>
      <c r="C173" s="351"/>
      <c r="D173" s="351"/>
    </row>
    <row r="174" spans="1:4" ht="23.25">
      <c r="A174" s="353" t="s">
        <v>35</v>
      </c>
      <c r="B174" s="354" t="s">
        <v>34</v>
      </c>
      <c r="C174" s="354" t="s">
        <v>323</v>
      </c>
      <c r="D174" s="354" t="s">
        <v>37</v>
      </c>
    </row>
    <row r="175" spans="1:4" ht="23.25">
      <c r="A175" s="193" t="s">
        <v>402</v>
      </c>
      <c r="B175" s="355"/>
      <c r="C175" s="356">
        <v>227948</v>
      </c>
      <c r="D175" s="357"/>
    </row>
    <row r="176" spans="1:4" ht="23.25">
      <c r="A176" s="193" t="s">
        <v>403</v>
      </c>
      <c r="B176" s="355"/>
      <c r="C176" s="356">
        <v>241119.3</v>
      </c>
      <c r="D176" s="357"/>
    </row>
    <row r="177" spans="1:4" ht="23.25">
      <c r="A177" s="193" t="s">
        <v>404</v>
      </c>
      <c r="B177" s="355"/>
      <c r="C177" s="356">
        <v>4561.12</v>
      </c>
      <c r="D177" s="357"/>
    </row>
    <row r="178" spans="1:4" ht="23.25">
      <c r="A178" s="193" t="s">
        <v>603</v>
      </c>
      <c r="B178" s="355"/>
      <c r="C178" s="356">
        <v>22.77</v>
      </c>
      <c r="D178" s="357"/>
    </row>
    <row r="179" spans="1:4" ht="23.25">
      <c r="A179" s="193" t="s">
        <v>604</v>
      </c>
      <c r="B179" s="355"/>
      <c r="C179" s="356">
        <v>7081</v>
      </c>
      <c r="D179" s="357"/>
    </row>
    <row r="180" spans="1:4" ht="23.25">
      <c r="A180" s="193" t="s">
        <v>38</v>
      </c>
      <c r="B180" s="196"/>
      <c r="C180" s="356">
        <v>227323</v>
      </c>
      <c r="D180" s="357"/>
    </row>
    <row r="181" spans="1:4" ht="23.25">
      <c r="A181" s="193" t="s">
        <v>529</v>
      </c>
      <c r="B181" s="196"/>
      <c r="C181" s="356">
        <v>6258</v>
      </c>
      <c r="D181" s="357"/>
    </row>
    <row r="182" spans="1:4" ht="23.25">
      <c r="A182" s="445" t="s">
        <v>114</v>
      </c>
      <c r="B182" s="196"/>
      <c r="C182" s="356"/>
      <c r="D182" s="357">
        <v>244144.04</v>
      </c>
    </row>
    <row r="183" spans="1:4" ht="23.25">
      <c r="A183" s="445" t="s">
        <v>38</v>
      </c>
      <c r="B183" s="196"/>
      <c r="C183" s="356"/>
      <c r="D183" s="357">
        <v>235029</v>
      </c>
    </row>
    <row r="184" spans="1:4" ht="23.25">
      <c r="A184" s="445" t="s">
        <v>650</v>
      </c>
      <c r="B184" s="196"/>
      <c r="C184" s="356"/>
      <c r="D184" s="357">
        <v>6800</v>
      </c>
    </row>
    <row r="185" spans="1:4" ht="23.25">
      <c r="A185" s="445" t="s">
        <v>435</v>
      </c>
      <c r="B185" s="196"/>
      <c r="C185" s="356"/>
      <c r="D185" s="357">
        <v>2500</v>
      </c>
    </row>
    <row r="186" spans="1:4" ht="23.25">
      <c r="A186" s="445" t="s">
        <v>406</v>
      </c>
      <c r="B186" s="196"/>
      <c r="C186" s="356"/>
      <c r="D186" s="357">
        <v>1078.45</v>
      </c>
    </row>
    <row r="187" spans="1:4" ht="23.25">
      <c r="A187" s="445" t="s">
        <v>407</v>
      </c>
      <c r="B187" s="196"/>
      <c r="C187" s="356"/>
      <c r="D187" s="357">
        <v>1294.14</v>
      </c>
    </row>
    <row r="188" spans="1:4" ht="23.25">
      <c r="A188" s="445" t="s">
        <v>409</v>
      </c>
      <c r="B188" s="196"/>
      <c r="C188" s="356"/>
      <c r="D188" s="357">
        <v>7081</v>
      </c>
    </row>
    <row r="189" spans="1:4" ht="23.25">
      <c r="A189" s="445" t="s">
        <v>605</v>
      </c>
      <c r="B189" s="196"/>
      <c r="C189" s="356"/>
      <c r="D189" s="357">
        <v>197970</v>
      </c>
    </row>
    <row r="190" spans="1:4" ht="23.25">
      <c r="A190" s="445" t="s">
        <v>421</v>
      </c>
      <c r="B190" s="196"/>
      <c r="C190" s="356"/>
      <c r="D190" s="357">
        <v>18416.56</v>
      </c>
    </row>
    <row r="191" spans="1:5" ht="23.25">
      <c r="A191" s="193"/>
      <c r="B191" s="196"/>
      <c r="C191" s="496">
        <f>SUM(C175:C181)</f>
        <v>714313.19</v>
      </c>
      <c r="D191" s="504">
        <f>SUM(D182:D190)</f>
        <v>714313.1900000002</v>
      </c>
      <c r="E191" s="554"/>
    </row>
    <row r="192" spans="1:4" ht="23.25">
      <c r="A192" s="360" t="s">
        <v>606</v>
      </c>
      <c r="B192" s="361"/>
      <c r="C192" s="361"/>
      <c r="D192" s="362"/>
    </row>
    <row r="193" spans="1:4" ht="20.25">
      <c r="A193" s="497"/>
      <c r="B193" s="498"/>
      <c r="C193" s="498"/>
      <c r="D193" s="499"/>
    </row>
    <row r="194" spans="1:4" ht="23.25">
      <c r="A194" s="208" t="s">
        <v>439</v>
      </c>
      <c r="B194" s="54"/>
      <c r="C194" s="54"/>
      <c r="D194" s="432"/>
    </row>
    <row r="195" spans="1:4" ht="23.25">
      <c r="A195" s="208"/>
      <c r="B195" s="54"/>
      <c r="C195" s="54"/>
      <c r="D195" s="432"/>
    </row>
    <row r="196" spans="1:4" ht="23.25">
      <c r="A196" s="208"/>
      <c r="B196" s="54"/>
      <c r="C196" s="54"/>
      <c r="D196" s="366"/>
    </row>
    <row r="197" spans="1:4" ht="23.25">
      <c r="A197" s="367"/>
      <c r="B197" s="368"/>
      <c r="C197" s="368"/>
      <c r="D197" s="369"/>
    </row>
  </sheetData>
  <sheetProtection/>
  <mergeCells count="18">
    <mergeCell ref="A170:D170"/>
    <mergeCell ref="A171:D171"/>
    <mergeCell ref="A172:D172"/>
    <mergeCell ref="A136:D136"/>
    <mergeCell ref="A137:D137"/>
    <mergeCell ref="A138:D138"/>
    <mergeCell ref="A69:D69"/>
    <mergeCell ref="A70:D70"/>
    <mergeCell ref="A71:D71"/>
    <mergeCell ref="A101:D101"/>
    <mergeCell ref="A102:D102"/>
    <mergeCell ref="A103:D103"/>
    <mergeCell ref="A1:D1"/>
    <mergeCell ref="A2:D2"/>
    <mergeCell ref="A3:D3"/>
    <mergeCell ref="A35:D35"/>
    <mergeCell ref="A36:D36"/>
    <mergeCell ref="A37:D37"/>
  </mergeCells>
  <printOptions/>
  <pageMargins left="0.7" right="0.38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9"/>
  </sheetPr>
  <dimension ref="A1:E45"/>
  <sheetViews>
    <sheetView zoomScaleSheetLayoutView="100" zoomScalePageLayoutView="0" workbookViewId="0" topLeftCell="A1">
      <selection activeCell="E11" sqref="E11"/>
    </sheetView>
  </sheetViews>
  <sheetFormatPr defaultColWidth="9.140625" defaultRowHeight="21.75"/>
  <cols>
    <col min="1" max="1" width="75.28125" style="352" customWidth="1"/>
    <col min="2" max="2" width="11.421875" style="352" customWidth="1"/>
    <col min="3" max="3" width="16.7109375" style="352" customWidth="1"/>
    <col min="4" max="4" width="16.421875" style="352" customWidth="1"/>
    <col min="5" max="5" width="29.421875" style="352" bestFit="1" customWidth="1"/>
    <col min="6" max="7" width="20.421875" style="352" bestFit="1" customWidth="1"/>
    <col min="8" max="16384" width="9.140625" style="352" customWidth="1"/>
  </cols>
  <sheetData>
    <row r="1" spans="1:4" ht="23.25">
      <c r="A1" s="700" t="s">
        <v>528</v>
      </c>
      <c r="B1" s="700"/>
      <c r="C1" s="700"/>
      <c r="D1" s="700"/>
    </row>
    <row r="2" spans="1:4" ht="23.25">
      <c r="A2" s="700" t="s">
        <v>527</v>
      </c>
      <c r="B2" s="700"/>
      <c r="C2" s="700"/>
      <c r="D2" s="700"/>
    </row>
    <row r="3" spans="1:4" ht="23.25">
      <c r="A3" s="701" t="s">
        <v>321</v>
      </c>
      <c r="B3" s="701"/>
      <c r="C3" s="701"/>
      <c r="D3" s="701"/>
    </row>
    <row r="4" spans="1:4" ht="23.25">
      <c r="A4" s="351" t="s">
        <v>322</v>
      </c>
      <c r="B4" s="351"/>
      <c r="C4" s="351"/>
      <c r="D4" s="351"/>
    </row>
    <row r="5" spans="1:4" ht="23.25">
      <c r="A5" s="353" t="s">
        <v>35</v>
      </c>
      <c r="B5" s="354" t="s">
        <v>34</v>
      </c>
      <c r="C5" s="354" t="s">
        <v>323</v>
      </c>
      <c r="D5" s="354" t="s">
        <v>37</v>
      </c>
    </row>
    <row r="6" spans="1:4" ht="23.25">
      <c r="A6" s="193" t="s">
        <v>47</v>
      </c>
      <c r="B6" s="355" t="s">
        <v>333</v>
      </c>
      <c r="C6" s="356">
        <v>9783.32</v>
      </c>
      <c r="D6" s="357"/>
    </row>
    <row r="7" spans="1:4" ht="23.25">
      <c r="A7" s="193" t="s">
        <v>41</v>
      </c>
      <c r="B7" s="355" t="s">
        <v>335</v>
      </c>
      <c r="C7" s="356">
        <v>576905</v>
      </c>
      <c r="D7" s="357"/>
    </row>
    <row r="8" spans="1:4" ht="23.25">
      <c r="A8" s="193" t="s">
        <v>340</v>
      </c>
      <c r="B8" s="355" t="s">
        <v>348</v>
      </c>
      <c r="C8" s="356">
        <v>92780</v>
      </c>
      <c r="D8" s="357"/>
    </row>
    <row r="9" spans="1:4" ht="23.25">
      <c r="A9" s="193" t="s">
        <v>340</v>
      </c>
      <c r="B9" s="355" t="s">
        <v>511</v>
      </c>
      <c r="C9" s="356">
        <v>2910</v>
      </c>
      <c r="D9" s="357"/>
    </row>
    <row r="10" spans="1:4" ht="23.25">
      <c r="A10" s="193" t="s">
        <v>42</v>
      </c>
      <c r="B10" s="196">
        <v>6200</v>
      </c>
      <c r="C10" s="356">
        <v>18255</v>
      </c>
      <c r="D10" s="357"/>
    </row>
    <row r="11" spans="1:4" ht="23.25">
      <c r="A11" s="193" t="s">
        <v>43</v>
      </c>
      <c r="B11" s="196">
        <v>5250</v>
      </c>
      <c r="C11" s="356">
        <v>108599.34</v>
      </c>
      <c r="D11" s="357"/>
    </row>
    <row r="12" spans="1:4" ht="23.25">
      <c r="A12" s="193" t="s">
        <v>43</v>
      </c>
      <c r="B12" s="196">
        <v>6250</v>
      </c>
      <c r="C12" s="356">
        <v>172685.5</v>
      </c>
      <c r="D12" s="357"/>
    </row>
    <row r="13" spans="1:4" ht="23.25">
      <c r="A13" s="193" t="s">
        <v>44</v>
      </c>
      <c r="B13" s="196">
        <v>5270</v>
      </c>
      <c r="C13" s="356">
        <v>26237.25</v>
      </c>
      <c r="D13" s="357"/>
    </row>
    <row r="14" spans="1:4" ht="23.25">
      <c r="A14" s="193" t="s">
        <v>44</v>
      </c>
      <c r="B14" s="196"/>
      <c r="C14" s="356">
        <v>92689.8</v>
      </c>
      <c r="D14" s="357"/>
    </row>
    <row r="15" spans="1:4" ht="23.25">
      <c r="A15" s="193" t="s">
        <v>45</v>
      </c>
      <c r="B15" s="196">
        <v>5300</v>
      </c>
      <c r="C15" s="356">
        <v>22022.56</v>
      </c>
      <c r="D15" s="357"/>
    </row>
    <row r="16" spans="1:4" ht="23.25">
      <c r="A16" s="193" t="s">
        <v>45</v>
      </c>
      <c r="B16" s="196"/>
      <c r="C16" s="356">
        <v>31102.33</v>
      </c>
      <c r="D16" s="357"/>
    </row>
    <row r="17" spans="1:4" ht="23.25">
      <c r="A17" s="193" t="s">
        <v>78</v>
      </c>
      <c r="B17" s="196"/>
      <c r="C17" s="356">
        <v>10400</v>
      </c>
      <c r="D17" s="357"/>
    </row>
    <row r="18" spans="1:4" ht="23.25">
      <c r="A18" s="193" t="s">
        <v>46</v>
      </c>
      <c r="B18" s="196">
        <v>6400</v>
      </c>
      <c r="C18" s="356">
        <v>149068.24</v>
      </c>
      <c r="D18" s="357"/>
    </row>
    <row r="19" spans="1:4" ht="23.25">
      <c r="A19" s="193" t="s">
        <v>530</v>
      </c>
      <c r="B19" s="196"/>
      <c r="C19" s="356">
        <v>4620</v>
      </c>
      <c r="D19" s="357"/>
    </row>
    <row r="20" spans="1:4" ht="23.25">
      <c r="A20" s="193" t="s">
        <v>48</v>
      </c>
      <c r="B20" s="196"/>
      <c r="C20" s="356">
        <v>231500</v>
      </c>
      <c r="D20" s="357"/>
    </row>
    <row r="21" spans="1:4" ht="23.25">
      <c r="A21" s="193" t="s">
        <v>324</v>
      </c>
      <c r="B21" s="355" t="s">
        <v>56</v>
      </c>
      <c r="C21" s="356">
        <v>45340</v>
      </c>
      <c r="D21" s="357"/>
    </row>
    <row r="22" spans="1:4" ht="23.25">
      <c r="A22" s="193" t="s">
        <v>345</v>
      </c>
      <c r="B22" s="355" t="s">
        <v>337</v>
      </c>
      <c r="C22" s="356">
        <v>727410</v>
      </c>
      <c r="D22" s="357"/>
    </row>
    <row r="23" spans="1:4" ht="23.25">
      <c r="A23" s="193" t="s">
        <v>513</v>
      </c>
      <c r="B23" s="355"/>
      <c r="C23" s="356">
        <v>8700</v>
      </c>
      <c r="D23" s="357"/>
    </row>
    <row r="24" spans="1:4" ht="23.25">
      <c r="A24" s="193" t="s">
        <v>512</v>
      </c>
      <c r="B24" s="355"/>
      <c r="C24" s="356">
        <v>42520</v>
      </c>
      <c r="D24" s="357"/>
    </row>
    <row r="25" spans="1:4" ht="23.25">
      <c r="A25" s="193" t="s">
        <v>521</v>
      </c>
      <c r="B25" s="355"/>
      <c r="C25" s="356">
        <v>18440</v>
      </c>
      <c r="D25" s="357"/>
    </row>
    <row r="26" spans="1:4" ht="23.25">
      <c r="A26" s="193" t="s">
        <v>531</v>
      </c>
      <c r="B26" s="355"/>
      <c r="C26" s="356">
        <v>18416.56</v>
      </c>
      <c r="D26" s="357"/>
    </row>
    <row r="27" spans="1:4" ht="23.25">
      <c r="A27" s="193" t="s">
        <v>325</v>
      </c>
      <c r="B27" s="196"/>
      <c r="C27" s="356">
        <v>78900</v>
      </c>
      <c r="D27" s="357"/>
    </row>
    <row r="28" spans="1:4" ht="23.25">
      <c r="A28" s="193" t="s">
        <v>1</v>
      </c>
      <c r="B28" s="196"/>
      <c r="C28" s="356">
        <v>63900</v>
      </c>
      <c r="D28" s="357"/>
    </row>
    <row r="29" spans="1:4" ht="23.25">
      <c r="A29" s="193" t="s">
        <v>329</v>
      </c>
      <c r="B29" s="196"/>
      <c r="C29" s="356">
        <v>43000</v>
      </c>
      <c r="D29" s="357"/>
    </row>
    <row r="30" spans="1:4" ht="23.25">
      <c r="A30" s="193" t="s">
        <v>326</v>
      </c>
      <c r="B30" s="196"/>
      <c r="C30" s="356">
        <v>23800</v>
      </c>
      <c r="D30" s="357"/>
    </row>
    <row r="31" spans="1:4" ht="23.25">
      <c r="A31" s="193" t="s">
        <v>327</v>
      </c>
      <c r="B31" s="196"/>
      <c r="C31" s="356">
        <v>6200</v>
      </c>
      <c r="D31" s="357"/>
    </row>
    <row r="32" spans="1:4" ht="23.25">
      <c r="A32" s="193" t="s">
        <v>341</v>
      </c>
      <c r="B32" s="196"/>
      <c r="C32" s="356">
        <v>7886.36</v>
      </c>
      <c r="D32" s="357"/>
    </row>
    <row r="33" spans="1:4" ht="23.25">
      <c r="A33" s="358" t="s">
        <v>349</v>
      </c>
      <c r="B33" s="355"/>
      <c r="C33" s="357"/>
      <c r="D33" s="413">
        <v>2409545.45</v>
      </c>
    </row>
    <row r="34" spans="1:4" ht="23.25">
      <c r="A34" s="358" t="s">
        <v>341</v>
      </c>
      <c r="B34" s="196"/>
      <c r="C34" s="357"/>
      <c r="D34" s="413">
        <v>8325.81</v>
      </c>
    </row>
    <row r="35" spans="1:4" ht="23.25">
      <c r="A35" s="358" t="s">
        <v>327</v>
      </c>
      <c r="B35" s="196"/>
      <c r="C35" s="357"/>
      <c r="D35" s="413">
        <v>6200</v>
      </c>
    </row>
    <row r="36" spans="1:4" ht="23.25">
      <c r="A36" s="358" t="s">
        <v>1</v>
      </c>
      <c r="B36" s="196"/>
      <c r="C36" s="359">
        <f>SUM(C6:C35)</f>
        <v>2634071.26</v>
      </c>
      <c r="D36" s="413">
        <v>63900</v>
      </c>
    </row>
    <row r="37" spans="1:4" ht="23.25">
      <c r="A37" s="358" t="s">
        <v>329</v>
      </c>
      <c r="B37" s="196"/>
      <c r="C37" s="359"/>
      <c r="D37" s="413">
        <v>43000</v>
      </c>
    </row>
    <row r="38" spans="1:4" ht="23.25">
      <c r="A38" s="358" t="s">
        <v>326</v>
      </c>
      <c r="B38" s="196"/>
      <c r="C38" s="359"/>
      <c r="D38" s="413">
        <v>23800</v>
      </c>
    </row>
    <row r="39" spans="1:4" ht="23.25">
      <c r="A39" s="358" t="s">
        <v>325</v>
      </c>
      <c r="B39" s="196"/>
      <c r="C39" s="359"/>
      <c r="D39" s="413">
        <v>78900</v>
      </c>
    </row>
    <row r="40" spans="1:5" ht="23.25">
      <c r="A40" s="358" t="s">
        <v>608</v>
      </c>
      <c r="B40" s="196"/>
      <c r="C40" s="357"/>
      <c r="D40" s="413">
        <v>400</v>
      </c>
      <c r="E40" s="535"/>
    </row>
    <row r="41" spans="1:4" ht="23.25">
      <c r="A41" s="193"/>
      <c r="B41" s="196"/>
      <c r="C41" s="496">
        <f>SUM(C6:C33)</f>
        <v>2634071.26</v>
      </c>
      <c r="D41" s="504">
        <f>SUM(D33:D40)</f>
        <v>2634071.2600000002</v>
      </c>
    </row>
    <row r="42" spans="1:4" ht="23.25">
      <c r="A42" s="360" t="s">
        <v>607</v>
      </c>
      <c r="B42" s="550"/>
      <c r="C42" s="565"/>
      <c r="D42" s="566"/>
    </row>
    <row r="43" spans="1:4" ht="23.25">
      <c r="A43" s="365" t="s">
        <v>328</v>
      </c>
      <c r="B43" s="54"/>
      <c r="C43" s="431"/>
      <c r="D43" s="364"/>
    </row>
    <row r="44" spans="1:4" ht="20.25">
      <c r="A44" s="551"/>
      <c r="B44" s="552"/>
      <c r="C44" s="552"/>
      <c r="D44" s="553"/>
    </row>
    <row r="45" spans="1:4" ht="23.25">
      <c r="A45" s="367"/>
      <c r="B45" s="368"/>
      <c r="C45" s="368"/>
      <c r="D45" s="369"/>
    </row>
  </sheetData>
  <sheetProtection/>
  <mergeCells count="3">
    <mergeCell ref="A1:D1"/>
    <mergeCell ref="A2:D2"/>
    <mergeCell ref="A3:D3"/>
  </mergeCells>
  <printOptions/>
  <pageMargins left="0.66" right="0.38" top="0.24" bottom="0.3" header="0.17" footer="0.18"/>
  <pageSetup horizontalDpi="600" verticalDpi="600" orientation="portrait" paperSize="9" scale="8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zoomScalePageLayoutView="0" workbookViewId="0" topLeftCell="A10">
      <selection activeCell="A27" sqref="A27"/>
    </sheetView>
  </sheetViews>
  <sheetFormatPr defaultColWidth="9.140625" defaultRowHeight="21.75"/>
  <cols>
    <col min="1" max="1" width="63.140625" style="352" customWidth="1"/>
    <col min="2" max="2" width="7.421875" style="352" customWidth="1"/>
    <col min="3" max="3" width="16.8515625" style="352" customWidth="1"/>
    <col min="4" max="4" width="15.8515625" style="352" customWidth="1"/>
    <col min="5" max="5" width="29.421875" style="352" bestFit="1" customWidth="1"/>
    <col min="6" max="7" width="20.421875" style="352" bestFit="1" customWidth="1"/>
    <col min="8" max="16384" width="9.140625" style="352" customWidth="1"/>
  </cols>
  <sheetData>
    <row r="1" spans="1:4" ht="23.25">
      <c r="A1" s="700" t="s">
        <v>610</v>
      </c>
      <c r="B1" s="700"/>
      <c r="C1" s="700"/>
      <c r="D1" s="700"/>
    </row>
    <row r="2" spans="1:4" ht="23.25">
      <c r="A2" s="700" t="s">
        <v>609</v>
      </c>
      <c r="B2" s="700"/>
      <c r="C2" s="700"/>
      <c r="D2" s="700"/>
    </row>
    <row r="3" spans="1:4" ht="23.25">
      <c r="A3" s="701" t="s">
        <v>410</v>
      </c>
      <c r="B3" s="701"/>
      <c r="C3" s="701"/>
      <c r="D3" s="701"/>
    </row>
    <row r="4" spans="1:4" ht="23.25">
      <c r="A4" s="351" t="s">
        <v>322</v>
      </c>
      <c r="B4" s="351"/>
      <c r="C4" s="351"/>
      <c r="D4" s="351"/>
    </row>
    <row r="5" spans="1:4" ht="26.25" customHeight="1">
      <c r="A5" s="353" t="s">
        <v>35</v>
      </c>
      <c r="B5" s="354" t="s">
        <v>34</v>
      </c>
      <c r="C5" s="354" t="s">
        <v>323</v>
      </c>
      <c r="D5" s="354" t="s">
        <v>37</v>
      </c>
    </row>
    <row r="6" spans="1:5" ht="23.25">
      <c r="A6" s="210" t="s">
        <v>114</v>
      </c>
      <c r="B6" s="355"/>
      <c r="C6" s="356">
        <f>+D7+D8+D9+D10+D11+D12+D13+D14+D15+D16+D17+D18+D19+D20</f>
        <v>244144.04</v>
      </c>
      <c r="D6" s="357"/>
      <c r="E6" s="370"/>
    </row>
    <row r="7" spans="1:5" ht="23.25">
      <c r="A7" s="445" t="s">
        <v>514</v>
      </c>
      <c r="B7" s="355"/>
      <c r="C7" s="356"/>
      <c r="D7" s="357">
        <v>19196.41</v>
      </c>
      <c r="E7" s="370"/>
    </row>
    <row r="8" spans="1:5" ht="23.25">
      <c r="A8" s="445" t="s">
        <v>515</v>
      </c>
      <c r="B8" s="355"/>
      <c r="C8" s="356"/>
      <c r="D8" s="357">
        <v>48197</v>
      </c>
      <c r="E8" s="370"/>
    </row>
    <row r="9" spans="1:4" ht="23.25">
      <c r="A9" s="445" t="s">
        <v>516</v>
      </c>
      <c r="B9" s="355"/>
      <c r="C9" s="356"/>
      <c r="D9" s="357">
        <v>74784</v>
      </c>
    </row>
    <row r="10" spans="1:4" ht="23.25">
      <c r="A10" s="445" t="s">
        <v>411</v>
      </c>
      <c r="B10" s="196"/>
      <c r="C10" s="356"/>
      <c r="D10" s="357">
        <v>71010</v>
      </c>
    </row>
    <row r="11" spans="1:4" ht="23.25">
      <c r="A11" s="445" t="s">
        <v>517</v>
      </c>
      <c r="B11" s="196"/>
      <c r="C11" s="356"/>
      <c r="D11" s="357">
        <v>80</v>
      </c>
    </row>
    <row r="12" spans="1:4" ht="23.25">
      <c r="A12" s="445" t="s">
        <v>518</v>
      </c>
      <c r="B12" s="196"/>
      <c r="C12" s="356"/>
      <c r="D12" s="357">
        <v>10</v>
      </c>
    </row>
    <row r="13" spans="1:4" ht="23.25">
      <c r="A13" s="445" t="s">
        <v>520</v>
      </c>
      <c r="B13" s="196"/>
      <c r="C13" s="356"/>
      <c r="D13" s="357">
        <v>196</v>
      </c>
    </row>
    <row r="14" spans="1:4" ht="23.25">
      <c r="A14" s="445" t="s">
        <v>611</v>
      </c>
      <c r="B14" s="196"/>
      <c r="C14" s="356"/>
      <c r="D14" s="357">
        <v>60</v>
      </c>
    </row>
    <row r="15" spans="1:4" ht="23.25">
      <c r="A15" s="445" t="s">
        <v>612</v>
      </c>
      <c r="B15" s="196"/>
      <c r="C15" s="356"/>
      <c r="D15" s="357">
        <v>800</v>
      </c>
    </row>
    <row r="16" spans="1:4" ht="23.25">
      <c r="A16" s="445" t="s">
        <v>613</v>
      </c>
      <c r="B16" s="196"/>
      <c r="C16" s="356"/>
      <c r="D16" s="357">
        <v>400</v>
      </c>
    </row>
    <row r="17" spans="1:4" ht="23.25">
      <c r="A17" s="445" t="s">
        <v>412</v>
      </c>
      <c r="B17" s="196"/>
      <c r="C17" s="356"/>
      <c r="D17" s="357">
        <v>94</v>
      </c>
    </row>
    <row r="18" spans="1:4" ht="23.25">
      <c r="A18" s="445" t="s">
        <v>532</v>
      </c>
      <c r="B18" s="196"/>
      <c r="C18" s="356"/>
      <c r="D18" s="357">
        <v>4583.89</v>
      </c>
    </row>
    <row r="19" spans="1:4" ht="23.25">
      <c r="A19" s="445" t="s">
        <v>614</v>
      </c>
      <c r="B19" s="196"/>
      <c r="C19" s="356"/>
      <c r="D19" s="357">
        <v>15512.31</v>
      </c>
    </row>
    <row r="20" spans="1:4" ht="23.25">
      <c r="A20" s="445" t="s">
        <v>615</v>
      </c>
      <c r="B20" s="196"/>
      <c r="C20" s="356"/>
      <c r="D20" s="357">
        <v>9220.43</v>
      </c>
    </row>
    <row r="21" spans="1:4" ht="23.25">
      <c r="A21" s="445"/>
      <c r="B21" s="196"/>
      <c r="C21" s="356"/>
      <c r="D21" s="357"/>
    </row>
    <row r="22" spans="1:4" ht="23.25">
      <c r="A22" s="445"/>
      <c r="B22" s="196"/>
      <c r="C22" s="356"/>
      <c r="D22" s="357"/>
    </row>
    <row r="23" spans="1:4" ht="23.25">
      <c r="A23" s="445"/>
      <c r="B23" s="196"/>
      <c r="C23" s="356"/>
      <c r="D23" s="357"/>
    </row>
    <row r="24" spans="1:4" ht="23.25">
      <c r="A24" s="445"/>
      <c r="B24" s="196"/>
      <c r="C24" s="356"/>
      <c r="D24" s="357"/>
    </row>
    <row r="25" spans="1:4" ht="23.25">
      <c r="A25" s="445"/>
      <c r="B25" s="196"/>
      <c r="C25" s="495" t="e">
        <f>SUM(C6+#REF!+#REF!)</f>
        <v>#REF!</v>
      </c>
      <c r="D25" s="496">
        <f>SUM(D7:D24)</f>
        <v>244144.04</v>
      </c>
    </row>
    <row r="26" spans="1:4" ht="23.25">
      <c r="A26" s="360" t="s">
        <v>616</v>
      </c>
      <c r="B26" s="361"/>
      <c r="C26" s="361"/>
      <c r="D26" s="362"/>
    </row>
    <row r="27" spans="1:4" ht="23.25">
      <c r="A27" s="208"/>
      <c r="B27" s="54"/>
      <c r="C27" s="54"/>
      <c r="D27" s="432"/>
    </row>
    <row r="28" spans="1:4" ht="23.25">
      <c r="A28" s="208"/>
      <c r="B28" s="54"/>
      <c r="C28" s="54"/>
      <c r="D28" s="432"/>
    </row>
    <row r="29" spans="1:4" ht="23.25">
      <c r="A29" s="208" t="s">
        <v>519</v>
      </c>
      <c r="B29" s="54"/>
      <c r="C29" s="54"/>
      <c r="D29" s="432"/>
    </row>
    <row r="30" spans="1:4" ht="23.25">
      <c r="A30" s="208"/>
      <c r="B30" s="54"/>
      <c r="C30" s="54"/>
      <c r="D30" s="432"/>
    </row>
    <row r="31" spans="1:4" ht="23.25">
      <c r="A31" s="208"/>
      <c r="B31" s="54"/>
      <c r="C31" s="54"/>
      <c r="D31" s="432"/>
    </row>
    <row r="32" spans="1:4" ht="23.25">
      <c r="A32" s="208"/>
      <c r="B32" s="54"/>
      <c r="C32" s="54"/>
      <c r="D32" s="432"/>
    </row>
    <row r="33" spans="1:4" ht="23.25">
      <c r="A33" s="367"/>
      <c r="B33" s="368"/>
      <c r="C33" s="368"/>
      <c r="D33" s="369"/>
    </row>
    <row r="34" spans="1:4" ht="23.25">
      <c r="A34" s="361"/>
      <c r="B34" s="361"/>
      <c r="C34" s="361"/>
      <c r="D34" s="361"/>
    </row>
    <row r="35" spans="1:4" ht="23.25">
      <c r="A35" s="54"/>
      <c r="B35" s="54"/>
      <c r="C35" s="54"/>
      <c r="D35" s="54"/>
    </row>
    <row r="36" spans="1:4" ht="23.25">
      <c r="A36" s="54"/>
      <c r="B36" s="54"/>
      <c r="C36" s="54"/>
      <c r="D36" s="54"/>
    </row>
    <row r="37" spans="1:4" ht="23.25">
      <c r="A37" s="54"/>
      <c r="B37" s="54"/>
      <c r="C37" s="54"/>
      <c r="D37" s="54"/>
    </row>
    <row r="38" spans="1:4" ht="23.25">
      <c r="A38" s="54"/>
      <c r="B38" s="54"/>
      <c r="C38" s="54"/>
      <c r="D38" s="54"/>
    </row>
  </sheetData>
  <sheetProtection/>
  <mergeCells count="3">
    <mergeCell ref="A1:D1"/>
    <mergeCell ref="A2:D2"/>
    <mergeCell ref="A3:D3"/>
  </mergeCells>
  <printOptions/>
  <pageMargins left="0.72" right="0.3937007874015748" top="0.7480314960629921" bottom="0.7480314960629921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75"/>
  <sheetViews>
    <sheetView view="pageBreakPreview" zoomScaleSheetLayoutView="100" zoomScalePageLayoutView="0" workbookViewId="0" topLeftCell="A57">
      <selection activeCell="C67" sqref="C67:F67"/>
    </sheetView>
  </sheetViews>
  <sheetFormatPr defaultColWidth="9.140625" defaultRowHeight="21.75"/>
  <cols>
    <col min="1" max="1" width="16.28125" style="14" customWidth="1"/>
    <col min="2" max="2" width="17.28125" style="14" customWidth="1"/>
    <col min="3" max="3" width="11.28125" style="14" customWidth="1"/>
    <col min="4" max="4" width="10.140625" style="14" customWidth="1"/>
    <col min="5" max="5" width="12.421875" style="14" customWidth="1"/>
    <col min="6" max="6" width="9.140625" style="14" customWidth="1"/>
    <col min="7" max="7" width="16.57421875" style="14" customWidth="1"/>
    <col min="8" max="8" width="15.421875" style="14" customWidth="1"/>
    <col min="9" max="9" width="14.8515625" style="14" customWidth="1"/>
    <col min="10" max="10" width="10.00390625" style="14" bestFit="1" customWidth="1"/>
    <col min="11" max="16384" width="9.140625" style="14" customWidth="1"/>
  </cols>
  <sheetData>
    <row r="1" spans="1:7" ht="59.25" customHeight="1">
      <c r="A1" s="130" t="s">
        <v>33</v>
      </c>
      <c r="B1" s="130"/>
      <c r="C1" s="130"/>
      <c r="D1" s="130"/>
      <c r="E1" s="130"/>
      <c r="F1" s="130"/>
      <c r="G1" s="130"/>
    </row>
    <row r="2" spans="1:7" ht="23.25">
      <c r="A2" s="130" t="s">
        <v>57</v>
      </c>
      <c r="B2" s="130"/>
      <c r="C2" s="130"/>
      <c r="D2" s="130"/>
      <c r="E2" s="130"/>
      <c r="F2" s="130"/>
      <c r="G2" s="130" t="s">
        <v>391</v>
      </c>
    </row>
    <row r="3" spans="1:7" ht="23.25">
      <c r="A3" s="607" t="s">
        <v>58</v>
      </c>
      <c r="B3" s="607"/>
      <c r="C3" s="607"/>
      <c r="D3" s="607"/>
      <c r="E3" s="607"/>
      <c r="F3" s="607"/>
      <c r="G3" s="607"/>
    </row>
    <row r="4" spans="1:7" ht="23.25">
      <c r="A4" s="131"/>
      <c r="B4" s="131"/>
      <c r="C4" s="131"/>
      <c r="D4" s="131"/>
      <c r="E4" s="131"/>
      <c r="F4" s="131" t="s">
        <v>524</v>
      </c>
      <c r="G4" s="131"/>
    </row>
    <row r="5" spans="1:7" ht="16.5" customHeight="1">
      <c r="A5" s="131"/>
      <c r="B5" s="131"/>
      <c r="C5" s="131"/>
      <c r="D5" s="131"/>
      <c r="E5" s="131"/>
      <c r="F5" s="131"/>
      <c r="G5" s="131"/>
    </row>
    <row r="6" spans="1:7" ht="23.25">
      <c r="A6" s="599" t="s">
        <v>59</v>
      </c>
      <c r="B6" s="600"/>
      <c r="C6" s="601" t="s">
        <v>35</v>
      </c>
      <c r="D6" s="602"/>
      <c r="E6" s="588"/>
      <c r="F6" s="588" t="s">
        <v>34</v>
      </c>
      <c r="G6" s="132" t="s">
        <v>62</v>
      </c>
    </row>
    <row r="7" spans="1:7" ht="23.25">
      <c r="A7" s="133" t="s">
        <v>60</v>
      </c>
      <c r="B7" s="134" t="s">
        <v>61</v>
      </c>
      <c r="C7" s="603"/>
      <c r="D7" s="604"/>
      <c r="E7" s="589"/>
      <c r="F7" s="589"/>
      <c r="G7" s="135" t="s">
        <v>61</v>
      </c>
    </row>
    <row r="8" spans="1:7" ht="23.25">
      <c r="A8" s="136" t="s">
        <v>53</v>
      </c>
      <c r="B8" s="137" t="s">
        <v>53</v>
      </c>
      <c r="C8" s="605"/>
      <c r="D8" s="606"/>
      <c r="E8" s="590"/>
      <c r="F8" s="590"/>
      <c r="G8" s="138" t="s">
        <v>53</v>
      </c>
    </row>
    <row r="9" spans="1:7" ht="23.25">
      <c r="A9" s="139"/>
      <c r="B9" s="140">
        <v>19838279.07</v>
      </c>
      <c r="C9" s="608" t="s">
        <v>63</v>
      </c>
      <c r="D9" s="609"/>
      <c r="E9" s="610"/>
      <c r="F9" s="141"/>
      <c r="G9" s="142">
        <v>27415763.62</v>
      </c>
    </row>
    <row r="10" spans="1:7" ht="23.25">
      <c r="A10" s="135"/>
      <c r="B10" s="143"/>
      <c r="C10" s="611" t="s">
        <v>92</v>
      </c>
      <c r="D10" s="591"/>
      <c r="E10" s="612"/>
      <c r="F10" s="144"/>
      <c r="G10" s="145"/>
    </row>
    <row r="11" spans="1:9" ht="23.25">
      <c r="A11" s="146">
        <v>1195000</v>
      </c>
      <c r="B11" s="143">
        <f>G11+1021065.75</f>
        <v>1163243.16</v>
      </c>
      <c r="C11" s="593" t="s">
        <v>64</v>
      </c>
      <c r="D11" s="587"/>
      <c r="E11" s="594"/>
      <c r="F11" s="147" t="s">
        <v>70</v>
      </c>
      <c r="G11" s="143">
        <f>19196.41+48197+74784</f>
        <v>142177.41</v>
      </c>
      <c r="H11" s="148"/>
      <c r="I11" s="148"/>
    </row>
    <row r="12" spans="1:7" ht="23.25">
      <c r="A12" s="146">
        <v>742300</v>
      </c>
      <c r="B12" s="143">
        <f>G12+388452</f>
        <v>461102</v>
      </c>
      <c r="C12" s="593" t="s">
        <v>65</v>
      </c>
      <c r="D12" s="587"/>
      <c r="E12" s="594"/>
      <c r="F12" s="147" t="s">
        <v>71</v>
      </c>
      <c r="G12" s="143">
        <f>196+71010+400+60+800+10+80+94</f>
        <v>72650</v>
      </c>
    </row>
    <row r="13" spans="1:10" ht="23.25">
      <c r="A13" s="146">
        <v>65000</v>
      </c>
      <c r="B13" s="143">
        <f>G13+51548.2</f>
        <v>56132.09</v>
      </c>
      <c r="C13" s="593" t="s">
        <v>66</v>
      </c>
      <c r="D13" s="587"/>
      <c r="E13" s="594"/>
      <c r="F13" s="147" t="s">
        <v>72</v>
      </c>
      <c r="G13" s="143">
        <v>4583.89</v>
      </c>
      <c r="H13" s="148"/>
      <c r="I13" s="148"/>
      <c r="J13" s="148"/>
    </row>
    <row r="14" spans="1:7" ht="23.25">
      <c r="A14" s="146">
        <v>62000</v>
      </c>
      <c r="B14" s="143">
        <f>G14+115013.101</f>
        <v>115013.101</v>
      </c>
      <c r="C14" s="593" t="s">
        <v>67</v>
      </c>
      <c r="D14" s="587"/>
      <c r="E14" s="594"/>
      <c r="F14" s="147" t="s">
        <v>73</v>
      </c>
      <c r="G14" s="143">
        <v>0</v>
      </c>
    </row>
    <row r="15" spans="1:7" ht="23.25">
      <c r="A15" s="149">
        <v>12185700</v>
      </c>
      <c r="B15" s="143">
        <f>G15+8162189.6</f>
        <v>8186922.34</v>
      </c>
      <c r="C15" s="593" t="s">
        <v>68</v>
      </c>
      <c r="D15" s="587"/>
      <c r="E15" s="594"/>
      <c r="F15" s="147" t="s">
        <v>74</v>
      </c>
      <c r="G15" s="143">
        <f>15512.31+9220.43</f>
        <v>24732.739999999998</v>
      </c>
    </row>
    <row r="16" spans="1:7" ht="23.25">
      <c r="A16" s="149">
        <v>12700000</v>
      </c>
      <c r="B16" s="143">
        <f>G16+8430174</f>
        <v>8430174</v>
      </c>
      <c r="C16" s="593" t="s">
        <v>69</v>
      </c>
      <c r="D16" s="587"/>
      <c r="E16" s="594"/>
      <c r="F16" s="147" t="s">
        <v>75</v>
      </c>
      <c r="G16" s="143">
        <v>0</v>
      </c>
    </row>
    <row r="17" spans="1:7" ht="24" thickBot="1">
      <c r="A17" s="150">
        <f>SUM(A11:A16)</f>
        <v>26950000</v>
      </c>
      <c r="B17" s="151">
        <f>SUM(B11:B16)</f>
        <v>18412586.691</v>
      </c>
      <c r="C17" s="613"/>
      <c r="D17" s="591"/>
      <c r="E17" s="612"/>
      <c r="F17" s="152"/>
      <c r="G17" s="151">
        <f>SUM(G11:G16)</f>
        <v>244144.04</v>
      </c>
    </row>
    <row r="18" spans="1:7" ht="24" thickTop="1">
      <c r="A18" s="295">
        <f>A17-B17</f>
        <v>8537413.309</v>
      </c>
      <c r="B18" s="154"/>
      <c r="C18" s="103" t="s">
        <v>170</v>
      </c>
      <c r="D18" s="104"/>
      <c r="E18" s="105"/>
      <c r="F18" s="152"/>
      <c r="G18" s="155"/>
    </row>
    <row r="19" spans="1:7" ht="23.25">
      <c r="A19" s="295"/>
      <c r="B19" s="281">
        <f>G19+545000</f>
        <v>545000</v>
      </c>
      <c r="C19" s="101" t="s">
        <v>464</v>
      </c>
      <c r="D19" s="104"/>
      <c r="E19" s="105"/>
      <c r="F19" s="152"/>
      <c r="G19" s="164">
        <v>0</v>
      </c>
    </row>
    <row r="20" spans="1:7" ht="23.25">
      <c r="A20" s="295"/>
      <c r="B20" s="281">
        <f>G20+5687876</f>
        <v>5687876</v>
      </c>
      <c r="C20" s="101" t="s">
        <v>455</v>
      </c>
      <c r="D20" s="104"/>
      <c r="E20" s="105"/>
      <c r="F20" s="152"/>
      <c r="G20" s="164">
        <v>0</v>
      </c>
    </row>
    <row r="21" spans="1:7" ht="23.25">
      <c r="A21" s="295"/>
      <c r="B21" s="281">
        <v>1484000</v>
      </c>
      <c r="C21" s="101" t="s">
        <v>473</v>
      </c>
      <c r="D21" s="104"/>
      <c r="E21" s="105"/>
      <c r="F21" s="152"/>
      <c r="G21" s="164">
        <v>0</v>
      </c>
    </row>
    <row r="22" spans="1:7" ht="23.25">
      <c r="A22" s="295"/>
      <c r="B22" s="281">
        <f>G22+15820</f>
        <v>15820</v>
      </c>
      <c r="C22" s="101" t="s">
        <v>379</v>
      </c>
      <c r="D22" s="104"/>
      <c r="E22" s="105"/>
      <c r="F22" s="152"/>
      <c r="G22" s="164">
        <v>0</v>
      </c>
    </row>
    <row r="23" spans="1:7" ht="23.25">
      <c r="A23" s="295"/>
      <c r="B23" s="281">
        <f>G23+9200</f>
        <v>11700</v>
      </c>
      <c r="C23" s="101" t="s">
        <v>465</v>
      </c>
      <c r="D23" s="104"/>
      <c r="E23" s="105"/>
      <c r="F23" s="152"/>
      <c r="G23" s="164">
        <v>2500</v>
      </c>
    </row>
    <row r="24" spans="1:7" ht="23.25">
      <c r="A24" s="153"/>
      <c r="B24" s="281">
        <f>G24</f>
        <v>0</v>
      </c>
      <c r="C24" s="101" t="s">
        <v>48</v>
      </c>
      <c r="D24" s="104"/>
      <c r="E24" s="105"/>
      <c r="F24" s="152"/>
      <c r="G24" s="164">
        <v>0</v>
      </c>
    </row>
    <row r="25" spans="1:7" ht="23.25">
      <c r="A25" s="156"/>
      <c r="B25" s="143">
        <f>G25+1365460.32</f>
        <v>1599626.28</v>
      </c>
      <c r="C25" s="593" t="s">
        <v>49</v>
      </c>
      <c r="D25" s="587"/>
      <c r="E25" s="594"/>
      <c r="F25" s="135">
        <v>900</v>
      </c>
      <c r="G25" s="143">
        <f>197970+18416.56+1078.45+1294.14+7081+8325.81</f>
        <v>234165.96000000002</v>
      </c>
    </row>
    <row r="26" spans="1:7" ht="23.25">
      <c r="A26" s="31"/>
      <c r="B26" s="157">
        <f>SUM(B19:B25)</f>
        <v>9344022.28</v>
      </c>
      <c r="C26" s="591"/>
      <c r="D26" s="591"/>
      <c r="E26" s="591"/>
      <c r="F26" s="152"/>
      <c r="G26" s="157">
        <f>SUM(G19:G25)</f>
        <v>236665.96000000002</v>
      </c>
    </row>
    <row r="27" spans="1:7" ht="24" thickBot="1">
      <c r="A27" s="31"/>
      <c r="B27" s="151">
        <f>B17+B26</f>
        <v>27756608.971</v>
      </c>
      <c r="C27" s="614" t="s">
        <v>76</v>
      </c>
      <c r="D27" s="614"/>
      <c r="E27" s="614"/>
      <c r="F27" s="158"/>
      <c r="G27" s="159">
        <f>G17+G26</f>
        <v>480810</v>
      </c>
    </row>
    <row r="28" spans="1:7" ht="24" thickTop="1">
      <c r="A28" s="160"/>
      <c r="B28" s="161"/>
      <c r="C28" s="592"/>
      <c r="D28" s="592"/>
      <c r="E28" s="592"/>
      <c r="F28" s="57"/>
      <c r="G28" s="160"/>
    </row>
    <row r="29" spans="1:7" ht="23.25">
      <c r="A29" s="160"/>
      <c r="B29" s="161"/>
      <c r="C29" s="162"/>
      <c r="D29" s="162"/>
      <c r="E29" s="162"/>
      <c r="F29" s="57"/>
      <c r="G29" s="160"/>
    </row>
    <row r="30" spans="1:7" ht="23.25">
      <c r="A30" s="160"/>
      <c r="B30" s="161"/>
      <c r="C30" s="162"/>
      <c r="D30" s="162"/>
      <c r="E30" s="162"/>
      <c r="F30" s="57"/>
      <c r="G30" s="160"/>
    </row>
    <row r="31" spans="1:7" ht="23.25">
      <c r="A31" s="160"/>
      <c r="B31" s="161"/>
      <c r="C31" s="162"/>
      <c r="D31" s="162"/>
      <c r="E31" s="162"/>
      <c r="F31" s="57"/>
      <c r="G31" s="160"/>
    </row>
    <row r="32" spans="1:7" ht="23.25">
      <c r="A32" s="160"/>
      <c r="B32" s="161"/>
      <c r="C32" s="162"/>
      <c r="D32" s="162"/>
      <c r="E32" s="162"/>
      <c r="F32" s="57"/>
      <c r="G32" s="160"/>
    </row>
    <row r="33" spans="1:7" ht="23.25">
      <c r="A33" s="160"/>
      <c r="B33" s="161"/>
      <c r="C33" s="162"/>
      <c r="D33" s="162"/>
      <c r="E33" s="162"/>
      <c r="F33" s="57"/>
      <c r="G33" s="160"/>
    </row>
    <row r="34" spans="1:7" ht="23.25">
      <c r="A34" s="160"/>
      <c r="B34" s="160"/>
      <c r="C34" s="592"/>
      <c r="D34" s="592"/>
      <c r="E34" s="592"/>
      <c r="F34" s="160"/>
      <c r="G34" s="160"/>
    </row>
    <row r="35" spans="1:7" ht="23.25">
      <c r="A35" s="160"/>
      <c r="B35" s="160"/>
      <c r="C35" s="162"/>
      <c r="D35" s="162"/>
      <c r="E35" s="162"/>
      <c r="F35" s="160"/>
      <c r="G35" s="160"/>
    </row>
    <row r="36" spans="1:7" ht="23.25">
      <c r="A36" s="160"/>
      <c r="B36" s="160"/>
      <c r="C36" s="162"/>
      <c r="D36" s="162"/>
      <c r="E36" s="162"/>
      <c r="F36" s="160"/>
      <c r="G36" s="160"/>
    </row>
    <row r="37" spans="1:7" ht="23.25">
      <c r="A37" s="598" t="s">
        <v>95</v>
      </c>
      <c r="B37" s="598"/>
      <c r="C37" s="598"/>
      <c r="D37" s="598"/>
      <c r="E37" s="598"/>
      <c r="F37" s="598"/>
      <c r="G37" s="598"/>
    </row>
    <row r="38" spans="1:7" ht="23.25">
      <c r="A38" s="599" t="s">
        <v>59</v>
      </c>
      <c r="B38" s="600"/>
      <c r="C38" s="601" t="s">
        <v>35</v>
      </c>
      <c r="D38" s="602"/>
      <c r="E38" s="588"/>
      <c r="F38" s="588" t="s">
        <v>34</v>
      </c>
      <c r="G38" s="132" t="s">
        <v>62</v>
      </c>
    </row>
    <row r="39" spans="1:7" ht="23.25">
      <c r="A39" s="133" t="s">
        <v>60</v>
      </c>
      <c r="B39" s="134" t="s">
        <v>61</v>
      </c>
      <c r="C39" s="603"/>
      <c r="D39" s="604"/>
      <c r="E39" s="589"/>
      <c r="F39" s="589"/>
      <c r="G39" s="135" t="s">
        <v>61</v>
      </c>
    </row>
    <row r="40" spans="1:7" ht="23.25">
      <c r="A40" s="136" t="s">
        <v>53</v>
      </c>
      <c r="B40" s="137" t="s">
        <v>53</v>
      </c>
      <c r="C40" s="605"/>
      <c r="D40" s="606"/>
      <c r="E40" s="590"/>
      <c r="F40" s="590"/>
      <c r="G40" s="138" t="s">
        <v>53</v>
      </c>
    </row>
    <row r="41" spans="1:7" ht="23.25">
      <c r="A41" s="139"/>
      <c r="B41" s="139"/>
      <c r="C41" s="615" t="s">
        <v>77</v>
      </c>
      <c r="D41" s="609"/>
      <c r="E41" s="610"/>
      <c r="F41" s="141"/>
      <c r="G41" s="163"/>
    </row>
    <row r="42" spans="1:9" ht="23.25">
      <c r="A42" s="164">
        <v>1509390</v>
      </c>
      <c r="B42" s="143">
        <f>G42+349078.52</f>
        <v>358861.84</v>
      </c>
      <c r="C42" s="593" t="s">
        <v>47</v>
      </c>
      <c r="D42" s="587"/>
      <c r="E42" s="594"/>
      <c r="F42" s="147" t="s">
        <v>50</v>
      </c>
      <c r="G42" s="143">
        <v>9783.32</v>
      </c>
      <c r="I42" s="428"/>
    </row>
    <row r="43" spans="1:9" ht="23.25">
      <c r="A43" s="143">
        <v>7990860</v>
      </c>
      <c r="B43" s="143">
        <f>G43+3488472.68</f>
        <v>4065377.68</v>
      </c>
      <c r="C43" s="593" t="s">
        <v>41</v>
      </c>
      <c r="D43" s="587"/>
      <c r="E43" s="594"/>
      <c r="F43" s="135">
        <v>100</v>
      </c>
      <c r="G43" s="143">
        <v>576905</v>
      </c>
      <c r="I43" s="429"/>
    </row>
    <row r="44" spans="1:9" ht="23.25">
      <c r="A44" s="143">
        <v>1178160</v>
      </c>
      <c r="B44" s="143">
        <f>G44+652708.39</f>
        <v>748398.39</v>
      </c>
      <c r="C44" s="593" t="s">
        <v>55</v>
      </c>
      <c r="D44" s="587"/>
      <c r="E44" s="594"/>
      <c r="F44" s="135">
        <v>130</v>
      </c>
      <c r="G44" s="143">
        <f>92780+2910</f>
        <v>95690</v>
      </c>
      <c r="I44" s="429"/>
    </row>
    <row r="45" spans="1:9" ht="23.25">
      <c r="A45" s="164">
        <v>772700</v>
      </c>
      <c r="B45" s="143">
        <f>G45+206762</f>
        <v>225017</v>
      </c>
      <c r="C45" s="593" t="s">
        <v>42</v>
      </c>
      <c r="D45" s="587"/>
      <c r="E45" s="594"/>
      <c r="F45" s="135">
        <v>200</v>
      </c>
      <c r="G45" s="143">
        <v>18255</v>
      </c>
      <c r="I45" s="429"/>
    </row>
    <row r="46" spans="1:9" ht="23.25">
      <c r="A46" s="164">
        <v>5300680</v>
      </c>
      <c r="B46" s="143">
        <f>G46+1394219.49</f>
        <v>1668704.33</v>
      </c>
      <c r="C46" s="593" t="s">
        <v>43</v>
      </c>
      <c r="D46" s="587"/>
      <c r="E46" s="594"/>
      <c r="F46" s="135">
        <v>250</v>
      </c>
      <c r="G46" s="143">
        <f>108599.34+172685.5-6800</f>
        <v>274484.83999999997</v>
      </c>
      <c r="I46" s="429"/>
    </row>
    <row r="47" spans="1:9" ht="23.25">
      <c r="A47" s="143">
        <v>2352960</v>
      </c>
      <c r="B47" s="143">
        <f>G47+611575.63</f>
        <v>730502.68</v>
      </c>
      <c r="C47" s="593" t="s">
        <v>44</v>
      </c>
      <c r="D47" s="587"/>
      <c r="E47" s="594"/>
      <c r="F47" s="135">
        <v>270</v>
      </c>
      <c r="G47" s="143">
        <f>26237.25+92689.8</f>
        <v>118927.05</v>
      </c>
      <c r="I47" s="429"/>
    </row>
    <row r="48" spans="1:9" ht="23.25">
      <c r="A48" s="164">
        <v>520000</v>
      </c>
      <c r="B48" s="143">
        <f>G48+170237.36</f>
        <v>223362.25</v>
      </c>
      <c r="C48" s="593" t="s">
        <v>45</v>
      </c>
      <c r="D48" s="587"/>
      <c r="E48" s="594"/>
      <c r="F48" s="135">
        <v>300</v>
      </c>
      <c r="G48" s="143">
        <f>22022.56+31102.33</f>
        <v>53124.89</v>
      </c>
      <c r="I48" s="429"/>
    </row>
    <row r="49" spans="1:9" ht="23.25">
      <c r="A49" s="143">
        <v>2737800</v>
      </c>
      <c r="B49" s="143">
        <f>G49+1562429.49</f>
        <v>1711497.73</v>
      </c>
      <c r="C49" s="593" t="s">
        <v>46</v>
      </c>
      <c r="D49" s="587"/>
      <c r="E49" s="594"/>
      <c r="F49" s="135">
        <v>400</v>
      </c>
      <c r="G49" s="143">
        <v>149068.24</v>
      </c>
      <c r="I49" s="429"/>
    </row>
    <row r="50" spans="1:9" ht="23.25">
      <c r="A50" s="143">
        <v>782450</v>
      </c>
      <c r="B50" s="143">
        <f>G50+73972</f>
        <v>84372</v>
      </c>
      <c r="C50" s="101" t="s">
        <v>78</v>
      </c>
      <c r="D50" s="97"/>
      <c r="E50" s="102"/>
      <c r="F50" s="135">
        <v>450</v>
      </c>
      <c r="G50" s="143">
        <v>10400</v>
      </c>
      <c r="I50" s="429"/>
    </row>
    <row r="51" spans="1:9" ht="23.25">
      <c r="A51" s="143">
        <v>3755000</v>
      </c>
      <c r="B51" s="143">
        <f>G51+373200</f>
        <v>373200</v>
      </c>
      <c r="C51" s="593" t="s">
        <v>79</v>
      </c>
      <c r="D51" s="587"/>
      <c r="E51" s="594"/>
      <c r="F51" s="135">
        <v>500</v>
      </c>
      <c r="G51" s="143">
        <v>0</v>
      </c>
      <c r="I51" s="429"/>
    </row>
    <row r="52" spans="1:9" ht="23.25">
      <c r="A52" s="143">
        <v>50000</v>
      </c>
      <c r="B52" s="143">
        <f>G52+24580</f>
        <v>29200</v>
      </c>
      <c r="C52" s="101" t="s">
        <v>122</v>
      </c>
      <c r="D52" s="97"/>
      <c r="E52" s="102"/>
      <c r="F52" s="135">
        <v>550</v>
      </c>
      <c r="G52" s="143">
        <v>4620</v>
      </c>
      <c r="I52" s="428"/>
    </row>
    <row r="53" spans="1:7" ht="24" thickBot="1">
      <c r="A53" s="159">
        <f>SUM(A42:A52)</f>
        <v>26950000</v>
      </c>
      <c r="B53" s="151">
        <f>SUM(B42:B52)</f>
        <v>10218493.9</v>
      </c>
      <c r="C53" s="613"/>
      <c r="D53" s="591"/>
      <c r="E53" s="612"/>
      <c r="F53" s="152"/>
      <c r="G53" s="151">
        <f>SUM(G42:G52)</f>
        <v>1311258.3399999999</v>
      </c>
    </row>
    <row r="54" spans="1:7" ht="24" thickTop="1">
      <c r="A54" s="519"/>
      <c r="B54" s="143">
        <f>G54+1337279.96</f>
        <v>1337279.96</v>
      </c>
      <c r="C54" s="593" t="s">
        <v>311</v>
      </c>
      <c r="D54" s="587"/>
      <c r="E54" s="594"/>
      <c r="F54" s="520"/>
      <c r="G54" s="143">
        <v>0</v>
      </c>
    </row>
    <row r="55" spans="1:7" ht="23.25">
      <c r="A55" s="31"/>
      <c r="B55" s="143">
        <f>G55+319500</f>
        <v>319500</v>
      </c>
      <c r="C55" s="593" t="s">
        <v>54</v>
      </c>
      <c r="D55" s="587"/>
      <c r="E55" s="594"/>
      <c r="F55" s="166">
        <v>600</v>
      </c>
      <c r="G55" s="143">
        <v>0</v>
      </c>
    </row>
    <row r="56" spans="1:9" ht="23.25">
      <c r="A56" s="31"/>
      <c r="B56" s="143">
        <f>G56+1382130.34</f>
        <v>1613630.34</v>
      </c>
      <c r="C56" s="101" t="s">
        <v>48</v>
      </c>
      <c r="D56" s="97"/>
      <c r="E56" s="97"/>
      <c r="F56" s="166">
        <v>700</v>
      </c>
      <c r="G56" s="143">
        <v>231500</v>
      </c>
      <c r="I56" s="148"/>
    </row>
    <row r="57" spans="1:9" ht="23.25">
      <c r="A57" s="31"/>
      <c r="B57" s="143">
        <v>1498000</v>
      </c>
      <c r="C57" s="101" t="s">
        <v>496</v>
      </c>
      <c r="D57" s="97"/>
      <c r="E57" s="97"/>
      <c r="F57" s="166"/>
      <c r="G57" s="143">
        <v>0</v>
      </c>
      <c r="I57" s="148"/>
    </row>
    <row r="58" spans="1:9" ht="23.25">
      <c r="A58" s="31"/>
      <c r="B58" s="143">
        <f>G58</f>
        <v>0</v>
      </c>
      <c r="C58" s="101" t="s">
        <v>285</v>
      </c>
      <c r="D58" s="97"/>
      <c r="E58" s="97"/>
      <c r="F58" s="166"/>
      <c r="G58" s="143">
        <v>0</v>
      </c>
      <c r="I58" s="148"/>
    </row>
    <row r="59" spans="1:9" ht="23.25">
      <c r="A59" s="31"/>
      <c r="B59" s="143">
        <f>G59+5245350</f>
        <v>5972760</v>
      </c>
      <c r="C59" s="117" t="s">
        <v>81</v>
      </c>
      <c r="F59" s="167">
        <v>704</v>
      </c>
      <c r="G59" s="143">
        <v>727410</v>
      </c>
      <c r="I59" s="148"/>
    </row>
    <row r="60" spans="1:8" ht="23.25">
      <c r="A60" s="31"/>
      <c r="B60" s="143">
        <f>G60+484692</f>
        <v>530032</v>
      </c>
      <c r="C60" s="593" t="s">
        <v>80</v>
      </c>
      <c r="D60" s="587"/>
      <c r="E60" s="594"/>
      <c r="F60" s="147" t="s">
        <v>56</v>
      </c>
      <c r="G60" s="143">
        <v>45340</v>
      </c>
      <c r="H60" s="56"/>
    </row>
    <row r="61" spans="1:9" ht="23.25">
      <c r="A61" s="31"/>
      <c r="B61" s="143">
        <f>G61+524126.56</f>
        <v>626347.48</v>
      </c>
      <c r="C61" s="101" t="s">
        <v>49</v>
      </c>
      <c r="D61" s="97"/>
      <c r="E61" s="102"/>
      <c r="F61" s="168" t="s">
        <v>93</v>
      </c>
      <c r="G61" s="143">
        <f>42520+8700+18416.56+7886.36+6258+18440</f>
        <v>102220.92</v>
      </c>
      <c r="H61" s="56"/>
      <c r="I61" s="416"/>
    </row>
    <row r="62" spans="1:7" ht="23.25">
      <c r="A62" s="31"/>
      <c r="B62" s="169">
        <f>SUM(B54:B61)</f>
        <v>11897549.780000001</v>
      </c>
      <c r="C62" s="596"/>
      <c r="D62" s="596"/>
      <c r="E62" s="596"/>
      <c r="F62" s="31"/>
      <c r="G62" s="169">
        <f>SUM(G54:G61)</f>
        <v>1106470.92</v>
      </c>
    </row>
    <row r="63" spans="1:8" ht="23.25">
      <c r="A63" s="156"/>
      <c r="B63" s="169">
        <f>SUM(B53+B62)</f>
        <v>22116043.68</v>
      </c>
      <c r="C63" s="595" t="s">
        <v>89</v>
      </c>
      <c r="D63" s="596"/>
      <c r="E63" s="596"/>
      <c r="F63" s="597"/>
      <c r="G63" s="169">
        <f>G53+G62</f>
        <v>2417729.26</v>
      </c>
      <c r="H63" s="148"/>
    </row>
    <row r="64" spans="1:7" ht="23.25">
      <c r="A64" s="31"/>
      <c r="B64" s="143">
        <f>+B27-B63</f>
        <v>5640565.291000001</v>
      </c>
      <c r="C64" s="595" t="s">
        <v>90</v>
      </c>
      <c r="D64" s="596"/>
      <c r="E64" s="596"/>
      <c r="F64" s="597"/>
      <c r="G64" s="143"/>
    </row>
    <row r="65" spans="1:7" ht="23.25">
      <c r="A65" s="170"/>
      <c r="B65" s="143"/>
      <c r="C65" s="30" t="s">
        <v>112</v>
      </c>
      <c r="D65" s="31"/>
      <c r="E65" s="31"/>
      <c r="F65" s="31" t="s">
        <v>77</v>
      </c>
      <c r="G65" s="143"/>
    </row>
    <row r="66" spans="1:9" ht="23.25">
      <c r="A66" s="171"/>
      <c r="B66" s="143"/>
      <c r="C66" s="595" t="s">
        <v>94</v>
      </c>
      <c r="D66" s="596"/>
      <c r="E66" s="596"/>
      <c r="F66" s="597"/>
      <c r="G66" s="143">
        <f>+G63-G27</f>
        <v>1936919.2599999998</v>
      </c>
      <c r="I66" s="148"/>
    </row>
    <row r="67" spans="1:9" ht="24" thickBot="1">
      <c r="A67" s="172"/>
      <c r="B67" s="151">
        <f>B9+B64</f>
        <v>25478844.361</v>
      </c>
      <c r="C67" s="595" t="s">
        <v>82</v>
      </c>
      <c r="D67" s="596"/>
      <c r="E67" s="596"/>
      <c r="F67" s="597"/>
      <c r="G67" s="151">
        <f>G9-G66</f>
        <v>25478844.36</v>
      </c>
      <c r="I67" s="148"/>
    </row>
    <row r="68" spans="1:9" ht="24" thickTop="1">
      <c r="A68" s="172"/>
      <c r="B68" s="173"/>
      <c r="C68" s="31"/>
      <c r="D68" s="31"/>
      <c r="E68" s="31"/>
      <c r="F68" s="31"/>
      <c r="G68" s="173"/>
      <c r="H68" s="205">
        <f>งบทดลอง1!H15-G67</f>
        <v>0</v>
      </c>
      <c r="I68" s="38"/>
    </row>
    <row r="69" spans="1:9" ht="23.25">
      <c r="A69" s="131"/>
      <c r="B69" s="173"/>
      <c r="C69" s="521">
        <f>B67-G67</f>
        <v>0.0010000020265579224</v>
      </c>
      <c r="D69" s="31"/>
      <c r="E69" s="31"/>
      <c r="F69" s="31"/>
      <c r="G69" s="173"/>
      <c r="I69" s="148"/>
    </row>
    <row r="70" spans="1:7" ht="23.25">
      <c r="A70" s="30"/>
      <c r="B70" s="30"/>
      <c r="C70" s="30"/>
      <c r="D70" s="30"/>
      <c r="E70" s="30"/>
      <c r="F70" s="31"/>
      <c r="G70" s="174"/>
    </row>
    <row r="71" spans="1:7" ht="23.25">
      <c r="A71" s="30"/>
      <c r="B71" s="30"/>
      <c r="C71" s="30"/>
      <c r="D71" s="30"/>
      <c r="E71" s="30"/>
      <c r="F71" s="30"/>
      <c r="G71" s="175"/>
    </row>
    <row r="72" spans="1:7" ht="23.25">
      <c r="A72" s="30"/>
      <c r="B72" s="30"/>
      <c r="C72" s="30"/>
      <c r="D72" s="30"/>
      <c r="E72" s="30"/>
      <c r="F72" s="30"/>
      <c r="G72" s="30"/>
    </row>
    <row r="73" spans="1:7" ht="23.25">
      <c r="A73" s="31"/>
      <c r="B73" s="31"/>
      <c r="C73" s="31"/>
      <c r="D73" s="31"/>
      <c r="E73" s="31"/>
      <c r="F73" s="31"/>
      <c r="G73" s="31"/>
    </row>
    <row r="74" spans="1:7" ht="23.25">
      <c r="A74" s="31"/>
      <c r="B74" s="31"/>
      <c r="C74" s="31"/>
      <c r="D74" s="31"/>
      <c r="E74" s="31"/>
      <c r="F74" s="31"/>
      <c r="G74" s="31"/>
    </row>
    <row r="75" spans="1:7" ht="23.25">
      <c r="A75" s="31"/>
      <c r="B75" s="279">
        <f>G67-B67</f>
        <v>-0.0010000020265579224</v>
      </c>
      <c r="C75" s="31"/>
      <c r="D75" s="31"/>
      <c r="E75" s="31"/>
      <c r="F75" s="31"/>
      <c r="G75" s="31"/>
    </row>
  </sheetData>
  <sheetProtection/>
  <mergeCells count="41">
    <mergeCell ref="C11:E11"/>
    <mergeCell ref="C17:E17"/>
    <mergeCell ref="C13:E13"/>
    <mergeCell ref="C64:F64"/>
    <mergeCell ref="C62:E62"/>
    <mergeCell ref="C63:F63"/>
    <mergeCell ref="C51:E51"/>
    <mergeCell ref="C55:E55"/>
    <mergeCell ref="C15:E15"/>
    <mergeCell ref="C60:E60"/>
    <mergeCell ref="C53:E53"/>
    <mergeCell ref="C42:E42"/>
    <mergeCell ref="C46:E46"/>
    <mergeCell ref="C27:E27"/>
    <mergeCell ref="C43:E43"/>
    <mergeCell ref="C41:E41"/>
    <mergeCell ref="C47:E47"/>
    <mergeCell ref="A3:G3"/>
    <mergeCell ref="A6:B6"/>
    <mergeCell ref="C6:E8"/>
    <mergeCell ref="F6:F8"/>
    <mergeCell ref="C9:E9"/>
    <mergeCell ref="C10:E10"/>
    <mergeCell ref="C54:E54"/>
    <mergeCell ref="C14:E14"/>
    <mergeCell ref="C67:F67"/>
    <mergeCell ref="A37:G37"/>
    <mergeCell ref="A38:B38"/>
    <mergeCell ref="C38:E40"/>
    <mergeCell ref="C45:E45"/>
    <mergeCell ref="C66:F66"/>
    <mergeCell ref="C49:E49"/>
    <mergeCell ref="C48:E48"/>
    <mergeCell ref="F38:F40"/>
    <mergeCell ref="C26:E26"/>
    <mergeCell ref="C28:E28"/>
    <mergeCell ref="C44:E44"/>
    <mergeCell ref="C12:E12"/>
    <mergeCell ref="C16:E16"/>
    <mergeCell ref="C25:E25"/>
    <mergeCell ref="C34:E34"/>
  </mergeCells>
  <printOptions/>
  <pageMargins left="0.94" right="0.1968503937007874" top="0.52" bottom="0.51" header="0.5118110236220472" footer="0.51"/>
  <pageSetup horizontalDpi="180" verticalDpi="18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SheetLayoutView="100" zoomScalePageLayoutView="0" workbookViewId="0" topLeftCell="A97">
      <selection activeCell="A94" sqref="A94:IV94"/>
    </sheetView>
  </sheetViews>
  <sheetFormatPr defaultColWidth="9.140625" defaultRowHeight="21.75"/>
  <cols>
    <col min="1" max="1" width="54.57421875" style="0" customWidth="1"/>
    <col min="3" max="4" width="13.00390625" style="0" customWidth="1"/>
  </cols>
  <sheetData>
    <row r="1" spans="1:4" ht="23.25">
      <c r="A1" s="700" t="s">
        <v>350</v>
      </c>
      <c r="B1" s="700"/>
      <c r="C1" s="700"/>
      <c r="D1" s="700"/>
    </row>
    <row r="2" spans="1:4" ht="23.25">
      <c r="A2" s="700" t="s">
        <v>351</v>
      </c>
      <c r="B2" s="700"/>
      <c r="C2" s="700"/>
      <c r="D2" s="700"/>
    </row>
    <row r="3" spans="1:4" ht="23.25">
      <c r="A3" s="701" t="s">
        <v>330</v>
      </c>
      <c r="B3" s="701"/>
      <c r="C3" s="701"/>
      <c r="D3" s="701"/>
    </row>
    <row r="4" spans="1:4" ht="23.25">
      <c r="A4" s="351" t="s">
        <v>322</v>
      </c>
      <c r="B4" s="351"/>
      <c r="C4" s="351"/>
      <c r="D4" s="351"/>
    </row>
    <row r="5" spans="1:4" ht="23.25">
      <c r="A5" s="353" t="s">
        <v>35</v>
      </c>
      <c r="B5" s="433" t="s">
        <v>34</v>
      </c>
      <c r="C5" s="354" t="s">
        <v>323</v>
      </c>
      <c r="D5" s="45" t="s">
        <v>37</v>
      </c>
    </row>
    <row r="6" spans="1:4" ht="23.25">
      <c r="A6" s="193" t="s">
        <v>48</v>
      </c>
      <c r="B6" s="434" t="s">
        <v>352</v>
      </c>
      <c r="C6" s="435">
        <v>73657.38</v>
      </c>
      <c r="D6" s="42"/>
    </row>
    <row r="7" spans="1:4" ht="23.25">
      <c r="A7" s="436" t="s">
        <v>40</v>
      </c>
      <c r="B7" s="355"/>
      <c r="C7" s="437"/>
      <c r="D7" s="438">
        <f>C6</f>
        <v>73657.38</v>
      </c>
    </row>
    <row r="8" spans="1:4" ht="23.25">
      <c r="A8" s="193"/>
      <c r="B8" s="355"/>
      <c r="C8" s="437"/>
      <c r="D8" s="439"/>
    </row>
    <row r="9" spans="1:4" ht="23.25">
      <c r="A9" s="193"/>
      <c r="B9" s="355"/>
      <c r="C9" s="439"/>
      <c r="D9" s="439"/>
    </row>
    <row r="10" spans="1:4" ht="23.25">
      <c r="A10" s="193"/>
      <c r="B10" s="355"/>
      <c r="C10" s="439"/>
      <c r="D10" s="439"/>
    </row>
    <row r="11" spans="1:4" ht="23.25">
      <c r="A11" s="193"/>
      <c r="B11" s="355"/>
      <c r="C11" s="439"/>
      <c r="D11" s="439"/>
    </row>
    <row r="12" spans="1:4" ht="23.25">
      <c r="A12" s="210"/>
      <c r="B12" s="355"/>
      <c r="C12" s="437"/>
      <c r="D12" s="439"/>
    </row>
    <row r="13" spans="1:4" ht="23.25">
      <c r="A13" s="193"/>
      <c r="B13" s="355"/>
      <c r="C13" s="437"/>
      <c r="D13" s="439"/>
    </row>
    <row r="14" spans="1:4" ht="23.25">
      <c r="A14" s="193"/>
      <c r="B14" s="355"/>
      <c r="C14" s="437"/>
      <c r="D14" s="439"/>
    </row>
    <row r="15" spans="1:4" ht="23.25">
      <c r="A15" s="44"/>
      <c r="B15" s="440"/>
      <c r="C15" s="441"/>
      <c r="D15" s="441"/>
    </row>
    <row r="16" spans="1:4" ht="23.25">
      <c r="A16" s="363" t="s">
        <v>353</v>
      </c>
      <c r="B16" s="442"/>
      <c r="C16" s="54"/>
      <c r="D16" s="443"/>
    </row>
    <row r="17" spans="1:4" ht="23.25">
      <c r="A17" s="702" t="s">
        <v>354</v>
      </c>
      <c r="B17" s="703"/>
      <c r="C17" s="703"/>
      <c r="D17" s="703"/>
    </row>
    <row r="18" spans="1:4" ht="23.25">
      <c r="A18" s="208"/>
      <c r="B18" s="442"/>
      <c r="C18" s="54"/>
      <c r="D18" s="443"/>
    </row>
    <row r="19" spans="1:4" ht="23.25">
      <c r="A19" s="444"/>
      <c r="B19" s="442"/>
      <c r="C19" s="54"/>
      <c r="D19" s="443"/>
    </row>
    <row r="20" spans="1:4" ht="23.25">
      <c r="A20" s="444"/>
      <c r="B20" s="442"/>
      <c r="C20" s="54"/>
      <c r="D20" s="443"/>
    </row>
    <row r="21" spans="1:4" ht="23.25">
      <c r="A21" s="444"/>
      <c r="B21" s="442"/>
      <c r="C21" s="54"/>
      <c r="D21" s="443"/>
    </row>
    <row r="22" spans="1:4" ht="23.25">
      <c r="A22" s="444"/>
      <c r="B22" s="442"/>
      <c r="C22" s="54"/>
      <c r="D22" s="443"/>
    </row>
    <row r="23" spans="1:4" ht="23.25">
      <c r="A23" s="208" t="s">
        <v>332</v>
      </c>
      <c r="B23" s="54"/>
      <c r="C23" s="54"/>
      <c r="D23" s="54"/>
    </row>
    <row r="24" spans="1:4" ht="23.25">
      <c r="A24" s="208"/>
      <c r="B24" s="54"/>
      <c r="C24" s="54"/>
      <c r="D24" s="54"/>
    </row>
    <row r="25" spans="1:4" ht="23.25">
      <c r="A25" s="704"/>
      <c r="B25" s="705"/>
      <c r="C25" s="705"/>
      <c r="D25" s="705"/>
    </row>
    <row r="26" spans="1:4" ht="23.25">
      <c r="A26" s="208"/>
      <c r="B26" s="442"/>
      <c r="C26" s="54"/>
      <c r="D26" s="443"/>
    </row>
    <row r="27" spans="1:4" ht="23.25">
      <c r="A27" s="367"/>
      <c r="B27" s="368"/>
      <c r="C27" s="368"/>
      <c r="D27" s="368"/>
    </row>
    <row r="28" spans="1:4" ht="23.25">
      <c r="A28" s="54"/>
      <c r="B28" s="54"/>
      <c r="C28" s="54"/>
      <c r="D28" s="54"/>
    </row>
    <row r="29" spans="1:4" ht="23.25">
      <c r="A29" s="54"/>
      <c r="B29" s="54"/>
      <c r="C29" s="54"/>
      <c r="D29" s="54"/>
    </row>
    <row r="30" spans="1:4" ht="23.25">
      <c r="A30" s="54"/>
      <c r="B30" s="54"/>
      <c r="C30" s="54"/>
      <c r="D30" s="54"/>
    </row>
    <row r="31" spans="1:4" ht="23.25">
      <c r="A31" s="54"/>
      <c r="B31" s="54"/>
      <c r="C31" s="54"/>
      <c r="D31" s="54"/>
    </row>
    <row r="32" spans="1:4" ht="23.25">
      <c r="A32" s="54"/>
      <c r="B32" s="54"/>
      <c r="C32" s="54"/>
      <c r="D32" s="54"/>
    </row>
    <row r="33" spans="1:4" ht="23.25">
      <c r="A33" s="700" t="s">
        <v>350</v>
      </c>
      <c r="B33" s="700"/>
      <c r="C33" s="700"/>
      <c r="D33" s="700"/>
    </row>
    <row r="34" spans="1:4" ht="23.25">
      <c r="A34" s="700" t="s">
        <v>351</v>
      </c>
      <c r="B34" s="700"/>
      <c r="C34" s="700"/>
      <c r="D34" s="700"/>
    </row>
    <row r="35" spans="1:4" ht="23.25">
      <c r="A35" s="701" t="s">
        <v>330</v>
      </c>
      <c r="B35" s="701"/>
      <c r="C35" s="701"/>
      <c r="D35" s="701"/>
    </row>
    <row r="36" spans="1:4" ht="23.25">
      <c r="A36" s="351" t="s">
        <v>322</v>
      </c>
      <c r="B36" s="351"/>
      <c r="C36" s="351"/>
      <c r="D36" s="351"/>
    </row>
    <row r="37" spans="1:4" ht="23.25">
      <c r="A37" s="353" t="s">
        <v>35</v>
      </c>
      <c r="B37" s="433" t="s">
        <v>34</v>
      </c>
      <c r="C37" s="354" t="s">
        <v>323</v>
      </c>
      <c r="D37" s="45" t="s">
        <v>37</v>
      </c>
    </row>
    <row r="38" spans="1:4" ht="23.25">
      <c r="A38" s="193" t="s">
        <v>40</v>
      </c>
      <c r="B38" s="434"/>
      <c r="C38" s="435">
        <v>70900.69</v>
      </c>
      <c r="D38" s="42"/>
    </row>
    <row r="39" spans="1:4" ht="23.25">
      <c r="A39" s="445" t="s">
        <v>48</v>
      </c>
      <c r="B39" s="355"/>
      <c r="C39" s="356"/>
      <c r="D39" s="438">
        <f>C38</f>
        <v>70900.69</v>
      </c>
    </row>
    <row r="40" spans="1:4" ht="23.25">
      <c r="A40" s="193"/>
      <c r="B40" s="355"/>
      <c r="C40" s="356"/>
      <c r="D40" s="439"/>
    </row>
    <row r="41" spans="1:4" ht="23.25">
      <c r="A41" s="193"/>
      <c r="B41" s="355"/>
      <c r="C41" s="438"/>
      <c r="D41" s="446"/>
    </row>
    <row r="42" spans="1:4" ht="23.25">
      <c r="A42" s="210"/>
      <c r="B42" s="355"/>
      <c r="C42" s="438"/>
      <c r="D42" s="438"/>
    </row>
    <row r="43" spans="1:4" ht="23.25">
      <c r="A43" s="193"/>
      <c r="B43" s="355"/>
      <c r="C43" s="438"/>
      <c r="D43" s="446"/>
    </row>
    <row r="44" spans="1:4" ht="23.25">
      <c r="A44" s="193"/>
      <c r="B44" s="355"/>
      <c r="C44" s="438"/>
      <c r="D44" s="356"/>
    </row>
    <row r="45" spans="1:4" ht="23.25">
      <c r="A45" s="445"/>
      <c r="B45" s="355"/>
      <c r="C45" s="193"/>
      <c r="D45" s="438"/>
    </row>
    <row r="46" spans="1:4" ht="23.25">
      <c r="A46" s="193"/>
      <c r="B46" s="355"/>
      <c r="C46" s="193"/>
      <c r="D46" s="437"/>
    </row>
    <row r="47" spans="1:4" ht="23.25">
      <c r="A47" s="367"/>
      <c r="B47" s="440"/>
      <c r="C47" s="447"/>
      <c r="D47" s="441"/>
    </row>
    <row r="48" spans="1:4" ht="23.25">
      <c r="A48" s="363" t="s">
        <v>353</v>
      </c>
      <c r="B48" s="442"/>
      <c r="C48" s="54"/>
      <c r="D48" s="443"/>
    </row>
    <row r="49" spans="1:4" ht="23.25">
      <c r="A49" s="448" t="s">
        <v>355</v>
      </c>
      <c r="B49" s="449"/>
      <c r="C49" s="450"/>
      <c r="D49" s="450"/>
    </row>
    <row r="50" spans="1:4" ht="23.25">
      <c r="A50" s="451"/>
      <c r="B50" s="449"/>
      <c r="C50" s="54"/>
      <c r="D50" s="443"/>
    </row>
    <row r="51" spans="1:4" ht="23.25">
      <c r="A51" s="448"/>
      <c r="B51" s="449"/>
      <c r="C51" s="54"/>
      <c r="D51" s="443"/>
    </row>
    <row r="52" spans="1:4" ht="23.25">
      <c r="A52" s="444"/>
      <c r="B52" s="442"/>
      <c r="C52" s="54"/>
      <c r="D52" s="443"/>
    </row>
    <row r="53" spans="1:4" ht="23.25">
      <c r="A53" s="444"/>
      <c r="B53" s="442"/>
      <c r="C53" s="54"/>
      <c r="D53" s="443"/>
    </row>
    <row r="54" spans="1:4" ht="23.25">
      <c r="A54" s="444"/>
      <c r="B54" s="442"/>
      <c r="C54" s="54"/>
      <c r="D54" s="443"/>
    </row>
    <row r="55" spans="1:4" ht="23.25">
      <c r="A55" s="208" t="s">
        <v>332</v>
      </c>
      <c r="B55" s="54"/>
      <c r="C55" s="54"/>
      <c r="D55" s="54"/>
    </row>
    <row r="56" spans="1:4" ht="23.25">
      <c r="A56" s="208"/>
      <c r="B56" s="54"/>
      <c r="C56" s="54"/>
      <c r="D56" s="54"/>
    </row>
    <row r="57" spans="1:4" ht="23.25">
      <c r="A57" s="704"/>
      <c r="B57" s="705"/>
      <c r="C57" s="705"/>
      <c r="D57" s="705"/>
    </row>
    <row r="58" spans="1:4" ht="23.25">
      <c r="A58" s="208"/>
      <c r="B58" s="442"/>
      <c r="C58" s="54"/>
      <c r="D58" s="443"/>
    </row>
    <row r="59" spans="1:4" ht="23.25">
      <c r="A59" s="367"/>
      <c r="B59" s="368"/>
      <c r="C59" s="368"/>
      <c r="D59" s="368"/>
    </row>
    <row r="60" spans="1:4" ht="23.25">
      <c r="A60" s="54"/>
      <c r="B60" s="54"/>
      <c r="C60" s="54"/>
      <c r="D60" s="54"/>
    </row>
    <row r="61" spans="1:4" ht="23.25">
      <c r="A61" s="54"/>
      <c r="B61" s="54"/>
      <c r="C61" s="54"/>
      <c r="D61" s="54"/>
    </row>
    <row r="62" spans="1:4" ht="23.25">
      <c r="A62" s="54"/>
      <c r="B62" s="54"/>
      <c r="C62" s="54"/>
      <c r="D62" s="54"/>
    </row>
    <row r="63" spans="1:4" ht="23.25">
      <c r="A63" s="54"/>
      <c r="B63" s="54"/>
      <c r="C63" s="54"/>
      <c r="D63" s="54"/>
    </row>
    <row r="64" spans="1:4" ht="23.25">
      <c r="A64" s="54"/>
      <c r="B64" s="54"/>
      <c r="C64" s="54"/>
      <c r="D64" s="54"/>
    </row>
    <row r="65" spans="1:4" ht="23.25">
      <c r="A65" s="700" t="s">
        <v>350</v>
      </c>
      <c r="B65" s="700"/>
      <c r="C65" s="700"/>
      <c r="D65" s="700"/>
    </row>
    <row r="66" spans="1:4" ht="23.25">
      <c r="A66" s="700" t="s">
        <v>351</v>
      </c>
      <c r="B66" s="700"/>
      <c r="C66" s="700"/>
      <c r="D66" s="700"/>
    </row>
    <row r="67" spans="1:4" ht="23.25">
      <c r="A67" s="701" t="s">
        <v>330</v>
      </c>
      <c r="B67" s="701"/>
      <c r="C67" s="701"/>
      <c r="D67" s="701"/>
    </row>
    <row r="68" spans="1:4" ht="23.25">
      <c r="A68" s="351" t="s">
        <v>322</v>
      </c>
      <c r="B68" s="351"/>
      <c r="C68" s="351"/>
      <c r="D68" s="351"/>
    </row>
    <row r="69" spans="1:4" ht="23.25">
      <c r="A69" s="353" t="s">
        <v>35</v>
      </c>
      <c r="B69" s="433" t="s">
        <v>34</v>
      </c>
      <c r="C69" s="354" t="s">
        <v>323</v>
      </c>
      <c r="D69" s="45" t="s">
        <v>37</v>
      </c>
    </row>
    <row r="70" spans="1:4" ht="23.25">
      <c r="A70" s="193" t="s">
        <v>42</v>
      </c>
      <c r="B70" s="434" t="s">
        <v>356</v>
      </c>
      <c r="C70" s="435">
        <v>1210000</v>
      </c>
      <c r="D70" s="42"/>
    </row>
    <row r="71" spans="1:4" ht="23.25">
      <c r="A71" s="210" t="s">
        <v>47</v>
      </c>
      <c r="B71" s="355" t="s">
        <v>333</v>
      </c>
      <c r="C71" s="356">
        <v>9780</v>
      </c>
      <c r="D71" s="438"/>
    </row>
    <row r="72" spans="1:4" ht="23.25">
      <c r="A72" s="193" t="s">
        <v>47</v>
      </c>
      <c r="B72" s="355" t="s">
        <v>334</v>
      </c>
      <c r="C72" s="356">
        <v>214900</v>
      </c>
      <c r="D72" s="439"/>
    </row>
    <row r="73" spans="1:4" ht="23.25">
      <c r="A73" s="193" t="s">
        <v>43</v>
      </c>
      <c r="B73" s="355" t="s">
        <v>347</v>
      </c>
      <c r="C73" s="438">
        <v>357</v>
      </c>
      <c r="D73" s="446"/>
    </row>
    <row r="74" spans="1:4" ht="23.25">
      <c r="A74" s="210" t="s">
        <v>43</v>
      </c>
      <c r="B74" s="355" t="s">
        <v>336</v>
      </c>
      <c r="C74" s="438">
        <v>31996</v>
      </c>
      <c r="D74" s="438"/>
    </row>
    <row r="75" spans="1:4" ht="23.25">
      <c r="A75" s="193" t="s">
        <v>44</v>
      </c>
      <c r="B75" s="355" t="s">
        <v>357</v>
      </c>
      <c r="C75" s="438">
        <v>19500</v>
      </c>
      <c r="D75" s="446"/>
    </row>
    <row r="76" spans="1:4" ht="23.25">
      <c r="A76" s="193" t="s">
        <v>44</v>
      </c>
      <c r="B76" s="355" t="s">
        <v>358</v>
      </c>
      <c r="C76" s="438">
        <v>153569.88</v>
      </c>
      <c r="D76" s="356"/>
    </row>
    <row r="77" spans="1:4" ht="23.25">
      <c r="A77" s="445" t="s">
        <v>311</v>
      </c>
      <c r="B77" s="355"/>
      <c r="C77" s="193"/>
      <c r="D77" s="438">
        <f>C70</f>
        <v>1210000</v>
      </c>
    </row>
    <row r="78" spans="1:4" ht="23.25">
      <c r="A78" s="445" t="s">
        <v>359</v>
      </c>
      <c r="B78" s="355"/>
      <c r="C78" s="193"/>
      <c r="D78" s="452">
        <f>C71+C72+C73+C74+C75+C76</f>
        <v>430102.88</v>
      </c>
    </row>
    <row r="79" spans="1:4" ht="23.25">
      <c r="A79" s="367"/>
      <c r="B79" s="440"/>
      <c r="C79" s="453">
        <f>SUM(C70:C78)</f>
        <v>1640102.88</v>
      </c>
      <c r="D79" s="454">
        <f>SUM(D77:D78)</f>
        <v>1640102.88</v>
      </c>
    </row>
    <row r="80" spans="1:4" ht="23.25">
      <c r="A80" s="363" t="s">
        <v>353</v>
      </c>
      <c r="B80" s="442"/>
      <c r="C80" s="54"/>
      <c r="D80" s="443"/>
    </row>
    <row r="81" spans="1:4" ht="23.25">
      <c r="A81" s="706" t="s">
        <v>360</v>
      </c>
      <c r="B81" s="707"/>
      <c r="C81" s="707"/>
      <c r="D81" s="707"/>
    </row>
    <row r="82" spans="1:4" ht="23.25">
      <c r="A82" s="209" t="s">
        <v>361</v>
      </c>
      <c r="B82" s="442"/>
      <c r="C82" s="54"/>
      <c r="D82" s="443"/>
    </row>
    <row r="83" spans="1:4" ht="23.25">
      <c r="A83" s="209" t="s">
        <v>362</v>
      </c>
      <c r="B83" s="442"/>
      <c r="C83" s="54"/>
      <c r="D83" s="443"/>
    </row>
    <row r="84" spans="1:4" ht="23.25">
      <c r="A84" s="209" t="s">
        <v>363</v>
      </c>
      <c r="B84" s="442"/>
      <c r="C84" s="54"/>
      <c r="D84" s="443"/>
    </row>
    <row r="85" spans="1:4" ht="23.25">
      <c r="A85" s="444"/>
      <c r="B85" s="442"/>
      <c r="C85" s="54"/>
      <c r="D85" s="443"/>
    </row>
    <row r="86" spans="1:4" ht="23.25">
      <c r="A86" s="444"/>
      <c r="B86" s="442"/>
      <c r="C86" s="54"/>
      <c r="D86" s="443"/>
    </row>
    <row r="87" spans="1:4" ht="23.25">
      <c r="A87" s="208" t="s">
        <v>332</v>
      </c>
      <c r="B87" s="54"/>
      <c r="C87" s="54"/>
      <c r="D87" s="54"/>
    </row>
    <row r="88" spans="1:4" ht="23.25">
      <c r="A88" s="208"/>
      <c r="B88" s="54"/>
      <c r="C88" s="54"/>
      <c r="D88" s="54"/>
    </row>
    <row r="89" spans="1:4" ht="23.25">
      <c r="A89" s="704"/>
      <c r="B89" s="705"/>
      <c r="C89" s="705"/>
      <c r="D89" s="705"/>
    </row>
    <row r="90" spans="1:4" ht="23.25">
      <c r="A90" s="208"/>
      <c r="B90" s="442"/>
      <c r="C90" s="54"/>
      <c r="D90" s="443"/>
    </row>
    <row r="91" spans="1:4" ht="23.25">
      <c r="A91" s="367"/>
      <c r="B91" s="368"/>
      <c r="C91" s="368"/>
      <c r="D91" s="368"/>
    </row>
    <row r="92" spans="1:4" ht="23.25">
      <c r="A92" s="352"/>
      <c r="B92" s="352"/>
      <c r="C92" s="352"/>
      <c r="D92" s="352"/>
    </row>
    <row r="93" spans="1:4" ht="23.25">
      <c r="A93" s="352"/>
      <c r="B93" s="352"/>
      <c r="C93" s="352"/>
      <c r="D93" s="352"/>
    </row>
    <row r="94" spans="1:4" ht="23.25">
      <c r="A94" s="352"/>
      <c r="B94" s="352"/>
      <c r="C94" s="352"/>
      <c r="D94" s="352"/>
    </row>
    <row r="95" spans="1:4" ht="23.25">
      <c r="A95" s="352"/>
      <c r="B95" s="352"/>
      <c r="C95" s="352"/>
      <c r="D95" s="352"/>
    </row>
    <row r="96" spans="1:4" ht="23.25">
      <c r="A96" s="352"/>
      <c r="B96" s="352"/>
      <c r="C96" s="352"/>
      <c r="D96" s="352"/>
    </row>
    <row r="97" spans="1:4" ht="23.25">
      <c r="A97" s="700" t="s">
        <v>350</v>
      </c>
      <c r="B97" s="700"/>
      <c r="C97" s="700"/>
      <c r="D97" s="700"/>
    </row>
    <row r="98" spans="1:4" ht="23.25">
      <c r="A98" s="700" t="s">
        <v>351</v>
      </c>
      <c r="B98" s="700"/>
      <c r="C98" s="700"/>
      <c r="D98" s="700"/>
    </row>
    <row r="99" spans="1:4" ht="23.25">
      <c r="A99" s="701" t="s">
        <v>330</v>
      </c>
      <c r="B99" s="701"/>
      <c r="C99" s="701"/>
      <c r="D99" s="701"/>
    </row>
    <row r="100" spans="1:4" ht="23.25">
      <c r="A100" s="351" t="s">
        <v>322</v>
      </c>
      <c r="B100" s="351"/>
      <c r="C100" s="351"/>
      <c r="D100" s="351"/>
    </row>
    <row r="101" spans="1:4" ht="23.25">
      <c r="A101" s="353" t="s">
        <v>35</v>
      </c>
      <c r="B101" s="433" t="s">
        <v>34</v>
      </c>
      <c r="C101" s="353" t="s">
        <v>323</v>
      </c>
      <c r="D101" s="45" t="s">
        <v>37</v>
      </c>
    </row>
    <row r="102" spans="1:4" ht="23.25">
      <c r="A102" s="193" t="s">
        <v>112</v>
      </c>
      <c r="B102" s="434"/>
      <c r="C102" s="435">
        <v>25564197.35</v>
      </c>
      <c r="D102" s="42"/>
    </row>
    <row r="103" spans="1:4" ht="23.25">
      <c r="A103" s="445" t="s">
        <v>77</v>
      </c>
      <c r="B103" s="355"/>
      <c r="C103" s="356"/>
      <c r="D103" s="455">
        <v>22095429.65</v>
      </c>
    </row>
    <row r="104" spans="1:4" ht="23.25">
      <c r="A104" s="445" t="s">
        <v>285</v>
      </c>
      <c r="B104" s="355"/>
      <c r="C104" s="356"/>
      <c r="D104" s="455">
        <f>(C102-D103)*25/100</f>
        <v>867191.9250000007</v>
      </c>
    </row>
    <row r="105" spans="1:4" ht="23.25">
      <c r="A105" s="445" t="s">
        <v>48</v>
      </c>
      <c r="B105" s="355"/>
      <c r="C105" s="438"/>
      <c r="D105" s="455">
        <v>2601575.77</v>
      </c>
    </row>
    <row r="106" spans="1:4" ht="23.25">
      <c r="A106" s="210"/>
      <c r="B106" s="355"/>
      <c r="C106" s="438"/>
      <c r="D106" s="438"/>
    </row>
    <row r="107" spans="1:4" ht="23.25">
      <c r="A107" s="193"/>
      <c r="B107" s="355"/>
      <c r="C107" s="438"/>
      <c r="D107" s="446"/>
    </row>
    <row r="108" spans="1:4" ht="23.25">
      <c r="A108" s="193"/>
      <c r="B108" s="355"/>
      <c r="C108" s="456">
        <f>SUM(C102:C107)</f>
        <v>25564197.35</v>
      </c>
      <c r="D108" s="457">
        <f>SUM(D103:D107)</f>
        <v>25564197.345</v>
      </c>
    </row>
    <row r="109" spans="1:4" ht="23.25">
      <c r="A109" s="445"/>
      <c r="B109" s="355"/>
      <c r="C109" s="193"/>
      <c r="D109" s="438"/>
    </row>
    <row r="110" spans="1:4" ht="23.25">
      <c r="A110" s="193"/>
      <c r="B110" s="355"/>
      <c r="C110" s="193"/>
      <c r="D110" s="437"/>
    </row>
    <row r="111" spans="1:4" ht="23.25">
      <c r="A111" s="367"/>
      <c r="B111" s="440"/>
      <c r="C111" s="447"/>
      <c r="D111" s="441"/>
    </row>
    <row r="112" spans="1:4" ht="23.25">
      <c r="A112" s="363" t="s">
        <v>353</v>
      </c>
      <c r="B112" s="442"/>
      <c r="C112" s="54"/>
      <c r="D112" s="443"/>
    </row>
    <row r="113" spans="1:4" ht="23.25">
      <c r="A113" s="448" t="s">
        <v>364</v>
      </c>
      <c r="B113" s="449"/>
      <c r="C113" s="450"/>
      <c r="D113" s="450"/>
    </row>
    <row r="114" spans="1:4" ht="23.25">
      <c r="A114" s="209" t="s">
        <v>365</v>
      </c>
      <c r="B114" s="449"/>
      <c r="C114" s="54"/>
      <c r="D114" s="443"/>
    </row>
    <row r="115" spans="1:4" ht="23.25">
      <c r="A115" s="209"/>
      <c r="B115" s="449"/>
      <c r="C115" s="54"/>
      <c r="D115" s="443"/>
    </row>
    <row r="116" spans="1:4" ht="23.25">
      <c r="A116" s="444"/>
      <c r="B116" s="442"/>
      <c r="C116" s="54"/>
      <c r="D116" s="443"/>
    </row>
    <row r="117" spans="1:4" ht="23.25">
      <c r="A117" s="444"/>
      <c r="B117" s="442"/>
      <c r="C117" s="54"/>
      <c r="D117" s="443"/>
    </row>
    <row r="118" spans="1:4" ht="23.25">
      <c r="A118" s="444"/>
      <c r="B118" s="442"/>
      <c r="C118" s="54"/>
      <c r="D118" s="443"/>
    </row>
    <row r="119" spans="1:4" ht="23.25">
      <c r="A119" s="208" t="s">
        <v>332</v>
      </c>
      <c r="B119" s="54"/>
      <c r="C119" s="54"/>
      <c r="D119" s="54"/>
    </row>
    <row r="120" spans="1:4" ht="23.25">
      <c r="A120" s="208"/>
      <c r="B120" s="54"/>
      <c r="C120" s="54"/>
      <c r="D120" s="54"/>
    </row>
    <row r="121" spans="1:4" ht="23.25">
      <c r="A121" s="704"/>
      <c r="B121" s="705"/>
      <c r="C121" s="705"/>
      <c r="D121" s="705"/>
    </row>
    <row r="122" spans="1:4" ht="23.25">
      <c r="A122" s="208"/>
      <c r="B122" s="442"/>
      <c r="C122" s="54"/>
      <c r="D122" s="443"/>
    </row>
    <row r="123" spans="1:4" ht="23.25">
      <c r="A123" s="367"/>
      <c r="B123" s="368"/>
      <c r="C123" s="368"/>
      <c r="D123" s="368"/>
    </row>
  </sheetData>
  <sheetProtection/>
  <mergeCells count="18">
    <mergeCell ref="A99:D99"/>
    <mergeCell ref="A121:D121"/>
    <mergeCell ref="A81:D81"/>
    <mergeCell ref="A89:D89"/>
    <mergeCell ref="A97:D97"/>
    <mergeCell ref="A98:D98"/>
    <mergeCell ref="A66:D66"/>
    <mergeCell ref="A67:D67"/>
    <mergeCell ref="A25:D25"/>
    <mergeCell ref="A33:D33"/>
    <mergeCell ref="A34:D34"/>
    <mergeCell ref="A35:D35"/>
    <mergeCell ref="A1:D1"/>
    <mergeCell ref="A2:D2"/>
    <mergeCell ref="A3:D3"/>
    <mergeCell ref="A17:D17"/>
    <mergeCell ref="A57:D57"/>
    <mergeCell ref="A65:D65"/>
  </mergeCells>
  <printOptions/>
  <pageMargins left="1.03" right="0.29" top="1.09" bottom="0.71" header="0.36" footer="0.3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18"/>
  <sheetViews>
    <sheetView zoomScaleSheetLayoutView="100" zoomScalePageLayoutView="0" workbookViewId="0" topLeftCell="A1">
      <selection activeCell="A13" sqref="A13"/>
    </sheetView>
  </sheetViews>
  <sheetFormatPr defaultColWidth="9.140625" defaultRowHeight="21.75"/>
  <cols>
    <col min="1" max="1" width="73.7109375" style="13" customWidth="1"/>
    <col min="2" max="2" width="8.8515625" style="13" customWidth="1"/>
    <col min="3" max="3" width="11.421875" style="13" customWidth="1"/>
    <col min="4" max="4" width="4.00390625" style="13" customWidth="1"/>
    <col min="5" max="5" width="11.28125" style="13" customWidth="1"/>
    <col min="6" max="6" width="4.00390625" style="13" customWidth="1"/>
    <col min="7" max="16384" width="9.140625" style="13" customWidth="1"/>
  </cols>
  <sheetData>
    <row r="1" spans="1:6" ht="22.5">
      <c r="A1" s="695" t="s">
        <v>533</v>
      </c>
      <c r="B1" s="695"/>
      <c r="C1" s="695"/>
      <c r="D1" s="695"/>
      <c r="E1" s="695"/>
      <c r="F1" s="695"/>
    </row>
    <row r="2" spans="1:6" ht="22.5">
      <c r="A2" s="695" t="s">
        <v>534</v>
      </c>
      <c r="B2" s="695"/>
      <c r="C2" s="695"/>
      <c r="D2" s="695"/>
      <c r="E2" s="695"/>
      <c r="F2" s="695"/>
    </row>
    <row r="3" spans="1:6" ht="22.5">
      <c r="A3" s="696" t="s">
        <v>330</v>
      </c>
      <c r="B3" s="696"/>
      <c r="C3" s="696"/>
      <c r="D3" s="696"/>
      <c r="E3" s="696"/>
      <c r="F3" s="696"/>
    </row>
    <row r="4" spans="1:6" ht="22.5">
      <c r="A4" s="371" t="s">
        <v>322</v>
      </c>
      <c r="B4" s="371"/>
      <c r="C4" s="371"/>
      <c r="D4" s="371"/>
      <c r="E4" s="371"/>
      <c r="F4" s="371"/>
    </row>
    <row r="5" spans="1:6" ht="22.5">
      <c r="A5" s="372" t="s">
        <v>35</v>
      </c>
      <c r="B5" s="373" t="s">
        <v>34</v>
      </c>
      <c r="C5" s="697" t="s">
        <v>323</v>
      </c>
      <c r="D5" s="698"/>
      <c r="E5" s="699" t="s">
        <v>37</v>
      </c>
      <c r="F5" s="698"/>
    </row>
    <row r="6" spans="1:6" ht="22.5">
      <c r="A6" s="387" t="s">
        <v>513</v>
      </c>
      <c r="B6" s="375"/>
      <c r="C6" s="376">
        <v>18885</v>
      </c>
      <c r="D6" s="377" t="s">
        <v>52</v>
      </c>
      <c r="E6" s="378"/>
      <c r="F6" s="379"/>
    </row>
    <row r="7" spans="1:6" ht="22.5">
      <c r="A7" s="409" t="s">
        <v>535</v>
      </c>
      <c r="B7" s="381"/>
      <c r="C7" s="382"/>
      <c r="D7" s="383"/>
      <c r="E7" s="384">
        <f>C6</f>
        <v>18885</v>
      </c>
      <c r="F7" s="381" t="s">
        <v>52</v>
      </c>
    </row>
    <row r="8" spans="1:6" ht="22.5">
      <c r="A8" s="380"/>
      <c r="B8" s="381"/>
      <c r="C8" s="382"/>
      <c r="D8" s="383"/>
      <c r="E8" s="385"/>
      <c r="F8" s="386"/>
    </row>
    <row r="9" spans="1:6" ht="22.5">
      <c r="A9" s="374"/>
      <c r="B9" s="381"/>
      <c r="C9" s="385"/>
      <c r="D9" s="383"/>
      <c r="E9" s="385"/>
      <c r="F9" s="386"/>
    </row>
    <row r="10" spans="1:6" ht="22.5">
      <c r="A10" s="374"/>
      <c r="B10" s="381"/>
      <c r="C10" s="385"/>
      <c r="D10" s="383"/>
      <c r="E10" s="385"/>
      <c r="F10" s="386"/>
    </row>
    <row r="11" spans="1:6" ht="22.5">
      <c r="A11" s="374"/>
      <c r="B11" s="381"/>
      <c r="C11" s="385"/>
      <c r="D11" s="383"/>
      <c r="E11" s="385"/>
      <c r="F11" s="386"/>
    </row>
    <row r="12" spans="1:6" ht="22.5">
      <c r="A12" s="387"/>
      <c r="B12" s="381"/>
      <c r="C12" s="382"/>
      <c r="D12" s="383"/>
      <c r="E12" s="385"/>
      <c r="F12" s="386"/>
    </row>
    <row r="13" spans="1:6" ht="22.5">
      <c r="A13" s="374"/>
      <c r="B13" s="381"/>
      <c r="C13" s="382"/>
      <c r="D13" s="383"/>
      <c r="E13" s="385"/>
      <c r="F13" s="386"/>
    </row>
    <row r="14" spans="1:6" ht="22.5">
      <c r="A14" s="374"/>
      <c r="B14" s="381"/>
      <c r="C14" s="374"/>
      <c r="D14" s="383"/>
      <c r="E14" s="382"/>
      <c r="F14" s="386"/>
    </row>
    <row r="15" spans="1:6" ht="22.5">
      <c r="A15" s="388"/>
      <c r="B15" s="389"/>
      <c r="C15" s="390"/>
      <c r="D15" s="391"/>
      <c r="E15" s="392"/>
      <c r="F15" s="391"/>
    </row>
    <row r="16" spans="1:6" ht="22.5">
      <c r="A16" s="393" t="s">
        <v>331</v>
      </c>
      <c r="B16" s="394"/>
      <c r="C16" s="395"/>
      <c r="D16" s="383"/>
      <c r="E16" s="396"/>
      <c r="F16" s="386"/>
    </row>
    <row r="17" spans="1:6" ht="22.5">
      <c r="A17" s="692" t="s">
        <v>536</v>
      </c>
      <c r="B17" s="693"/>
      <c r="C17" s="693"/>
      <c r="D17" s="693"/>
      <c r="E17" s="693"/>
      <c r="F17" s="694"/>
    </row>
    <row r="18" spans="1:6" ht="22.5">
      <c r="A18" s="397"/>
      <c r="B18" s="394"/>
      <c r="C18" s="395"/>
      <c r="D18" s="383"/>
      <c r="E18" s="396"/>
      <c r="F18" s="386"/>
    </row>
    <row r="19" spans="1:6" ht="22.5">
      <c r="A19" s="398"/>
      <c r="B19" s="399"/>
      <c r="C19" s="395"/>
      <c r="D19" s="383"/>
      <c r="E19" s="396"/>
      <c r="F19" s="386"/>
    </row>
    <row r="20" spans="1:6" ht="22.5">
      <c r="A20" s="400"/>
      <c r="B20" s="394"/>
      <c r="C20" s="395"/>
      <c r="D20" s="383"/>
      <c r="E20" s="396"/>
      <c r="F20" s="386"/>
    </row>
    <row r="21" spans="1:6" ht="22.5">
      <c r="A21" s="397" t="s">
        <v>332</v>
      </c>
      <c r="B21" s="395"/>
      <c r="C21" s="395"/>
      <c r="D21" s="383"/>
      <c r="E21" s="395"/>
      <c r="F21" s="379"/>
    </row>
    <row r="22" spans="1:6" ht="22.5">
      <c r="A22" s="397"/>
      <c r="B22" s="395"/>
      <c r="C22" s="395"/>
      <c r="D22" s="383"/>
      <c r="E22" s="395"/>
      <c r="F22" s="379"/>
    </row>
    <row r="23" spans="1:6" ht="22.5">
      <c r="A23" s="692"/>
      <c r="B23" s="693"/>
      <c r="C23" s="693"/>
      <c r="D23" s="693"/>
      <c r="E23" s="693"/>
      <c r="F23" s="694"/>
    </row>
    <row r="24" spans="1:6" ht="22.5">
      <c r="A24" s="397"/>
      <c r="B24" s="394"/>
      <c r="C24" s="395"/>
      <c r="D24" s="383"/>
      <c r="E24" s="396"/>
      <c r="F24" s="386"/>
    </row>
    <row r="25" spans="1:6" ht="22.5">
      <c r="A25" s="388"/>
      <c r="B25" s="401"/>
      <c r="C25" s="401"/>
      <c r="D25" s="401"/>
      <c r="E25" s="401"/>
      <c r="F25" s="402"/>
    </row>
    <row r="39" spans="1:6" ht="22.5">
      <c r="A39" s="695" t="s">
        <v>533</v>
      </c>
      <c r="B39" s="695"/>
      <c r="C39" s="695"/>
      <c r="D39" s="695"/>
      <c r="E39" s="695"/>
      <c r="F39" s="695"/>
    </row>
    <row r="40" spans="1:6" ht="22.5">
      <c r="A40" s="695" t="s">
        <v>539</v>
      </c>
      <c r="B40" s="695"/>
      <c r="C40" s="695"/>
      <c r="D40" s="695"/>
      <c r="E40" s="695"/>
      <c r="F40" s="695"/>
    </row>
    <row r="41" spans="1:6" ht="22.5">
      <c r="A41" s="696" t="s">
        <v>330</v>
      </c>
      <c r="B41" s="696"/>
      <c r="C41" s="696"/>
      <c r="D41" s="696"/>
      <c r="E41" s="696"/>
      <c r="F41" s="696"/>
    </row>
    <row r="42" spans="1:6" ht="22.5">
      <c r="A42" s="371" t="s">
        <v>322</v>
      </c>
      <c r="B42" s="371"/>
      <c r="C42" s="371"/>
      <c r="D42" s="371"/>
      <c r="E42" s="371"/>
      <c r="F42" s="371"/>
    </row>
    <row r="43" spans="1:6" ht="22.5">
      <c r="A43" s="372" t="s">
        <v>35</v>
      </c>
      <c r="B43" s="373" t="s">
        <v>34</v>
      </c>
      <c r="C43" s="697" t="s">
        <v>323</v>
      </c>
      <c r="D43" s="698"/>
      <c r="E43" s="699" t="s">
        <v>37</v>
      </c>
      <c r="F43" s="698"/>
    </row>
    <row r="44" spans="1:6" ht="22.5">
      <c r="A44" s="374" t="s">
        <v>537</v>
      </c>
      <c r="B44" s="375"/>
      <c r="C44" s="376">
        <v>2425</v>
      </c>
      <c r="D44" s="377" t="s">
        <v>52</v>
      </c>
      <c r="E44" s="378"/>
      <c r="F44" s="379"/>
    </row>
    <row r="45" spans="1:6" ht="22.5">
      <c r="A45" s="380" t="s">
        <v>48</v>
      </c>
      <c r="B45" s="381"/>
      <c r="C45" s="382"/>
      <c r="D45" s="383"/>
      <c r="E45" s="384">
        <f>C44</f>
        <v>2425</v>
      </c>
      <c r="F45" s="381" t="s">
        <v>52</v>
      </c>
    </row>
    <row r="46" spans="1:6" ht="22.5">
      <c r="A46" s="374"/>
      <c r="B46" s="381"/>
      <c r="C46" s="382"/>
      <c r="D46" s="383"/>
      <c r="E46" s="385"/>
      <c r="F46" s="386"/>
    </row>
    <row r="47" spans="1:6" ht="22.5">
      <c r="A47" s="374"/>
      <c r="B47" s="381"/>
      <c r="C47" s="385"/>
      <c r="D47" s="383"/>
      <c r="E47" s="385"/>
      <c r="F47" s="386"/>
    </row>
    <row r="48" spans="1:6" ht="22.5">
      <c r="A48" s="374"/>
      <c r="B48" s="381"/>
      <c r="C48" s="385"/>
      <c r="D48" s="383"/>
      <c r="E48" s="385"/>
      <c r="F48" s="386"/>
    </row>
    <row r="49" spans="1:6" ht="22.5">
      <c r="A49" s="374"/>
      <c r="B49" s="381"/>
      <c r="C49" s="385"/>
      <c r="D49" s="383"/>
      <c r="E49" s="385"/>
      <c r="F49" s="386"/>
    </row>
    <row r="50" spans="1:6" ht="22.5">
      <c r="A50" s="387"/>
      <c r="B50" s="381"/>
      <c r="C50" s="382"/>
      <c r="D50" s="383"/>
      <c r="E50" s="385"/>
      <c r="F50" s="386"/>
    </row>
    <row r="51" spans="1:6" ht="22.5">
      <c r="A51" s="374"/>
      <c r="B51" s="381"/>
      <c r="C51" s="382"/>
      <c r="D51" s="383"/>
      <c r="E51" s="385"/>
      <c r="F51" s="386"/>
    </row>
    <row r="52" spans="1:6" ht="22.5">
      <c r="A52" s="374"/>
      <c r="B52" s="381"/>
      <c r="C52" s="374"/>
      <c r="D52" s="383"/>
      <c r="E52" s="382"/>
      <c r="F52" s="386"/>
    </row>
    <row r="53" spans="1:6" ht="22.5">
      <c r="A53" s="388"/>
      <c r="B53" s="389"/>
      <c r="C53" s="390"/>
      <c r="D53" s="391"/>
      <c r="E53" s="392"/>
      <c r="F53" s="391"/>
    </row>
    <row r="54" spans="1:6" ht="22.5">
      <c r="A54" s="393" t="s">
        <v>331</v>
      </c>
      <c r="B54" s="394"/>
      <c r="C54" s="395"/>
      <c r="D54" s="383"/>
      <c r="E54" s="396"/>
      <c r="F54" s="386"/>
    </row>
    <row r="55" spans="1:6" ht="22.5">
      <c r="A55" s="692" t="s">
        <v>538</v>
      </c>
      <c r="B55" s="693"/>
      <c r="C55" s="693"/>
      <c r="D55" s="693"/>
      <c r="E55" s="693"/>
      <c r="F55" s="694"/>
    </row>
    <row r="56" spans="1:6" ht="22.5">
      <c r="A56" s="397" t="s">
        <v>541</v>
      </c>
      <c r="B56" s="394"/>
      <c r="C56" s="395"/>
      <c r="D56" s="383"/>
      <c r="E56" s="396"/>
      <c r="F56" s="386"/>
    </row>
    <row r="57" spans="1:6" ht="22.5">
      <c r="A57" s="398"/>
      <c r="B57" s="399"/>
      <c r="C57" s="395"/>
      <c r="D57" s="383"/>
      <c r="E57" s="396"/>
      <c r="F57" s="386"/>
    </row>
    <row r="58" spans="1:6" ht="22.5">
      <c r="A58" s="398"/>
      <c r="B58" s="399"/>
      <c r="C58" s="395"/>
      <c r="D58" s="383"/>
      <c r="E58" s="396"/>
      <c r="F58" s="386"/>
    </row>
    <row r="59" spans="1:6" ht="22.5">
      <c r="A59" s="398"/>
      <c r="B59" s="399"/>
      <c r="C59" s="395"/>
      <c r="D59" s="383"/>
      <c r="E59" s="396"/>
      <c r="F59" s="386"/>
    </row>
    <row r="60" spans="1:6" ht="22.5">
      <c r="A60" s="400"/>
      <c r="B60" s="394"/>
      <c r="C60" s="395"/>
      <c r="D60" s="383"/>
      <c r="E60" s="396"/>
      <c r="F60" s="386"/>
    </row>
    <row r="61" spans="1:6" ht="22.5">
      <c r="A61" s="400"/>
      <c r="B61" s="394"/>
      <c r="C61" s="395"/>
      <c r="D61" s="383"/>
      <c r="E61" s="396"/>
      <c r="F61" s="386"/>
    </row>
    <row r="62" spans="1:6" ht="22.5">
      <c r="A62" s="397" t="s">
        <v>332</v>
      </c>
      <c r="B62" s="395"/>
      <c r="C62" s="395"/>
      <c r="D62" s="383"/>
      <c r="E62" s="395"/>
      <c r="F62" s="379"/>
    </row>
    <row r="63" spans="1:6" ht="22.5">
      <c r="A63" s="397"/>
      <c r="B63" s="395"/>
      <c r="C63" s="395"/>
      <c r="D63" s="383"/>
      <c r="E63" s="395"/>
      <c r="F63" s="379"/>
    </row>
    <row r="64" spans="1:6" ht="22.5">
      <c r="A64" s="692"/>
      <c r="B64" s="693"/>
      <c r="C64" s="693"/>
      <c r="D64" s="693"/>
      <c r="E64" s="693"/>
      <c r="F64" s="694"/>
    </row>
    <row r="65" spans="1:6" ht="22.5">
      <c r="A65" s="397"/>
      <c r="B65" s="394"/>
      <c r="C65" s="395"/>
      <c r="D65" s="383"/>
      <c r="E65" s="396"/>
      <c r="F65" s="386"/>
    </row>
    <row r="66" spans="1:6" ht="22.5">
      <c r="A66" s="388"/>
      <c r="B66" s="401"/>
      <c r="C66" s="401"/>
      <c r="D66" s="401"/>
      <c r="E66" s="401"/>
      <c r="F66" s="402"/>
    </row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spans="1:6" ht="22.5">
      <c r="A77" s="695" t="s">
        <v>533</v>
      </c>
      <c r="B77" s="695"/>
      <c r="C77" s="695"/>
      <c r="D77" s="695"/>
      <c r="E77" s="695"/>
      <c r="F77" s="695"/>
    </row>
    <row r="78" spans="1:6" ht="22.5">
      <c r="A78" s="695" t="s">
        <v>542</v>
      </c>
      <c r="B78" s="695"/>
      <c r="C78" s="695"/>
      <c r="D78" s="695"/>
      <c r="E78" s="695"/>
      <c r="F78" s="695"/>
    </row>
    <row r="79" spans="1:6" ht="22.5">
      <c r="A79" s="696" t="s">
        <v>330</v>
      </c>
      <c r="B79" s="696"/>
      <c r="C79" s="696"/>
      <c r="D79" s="696"/>
      <c r="E79" s="696"/>
      <c r="F79" s="696"/>
    </row>
    <row r="80" spans="1:6" ht="22.5">
      <c r="A80" s="371" t="s">
        <v>322</v>
      </c>
      <c r="B80" s="371"/>
      <c r="C80" s="371"/>
      <c r="D80" s="371"/>
      <c r="E80" s="371"/>
      <c r="F80" s="371"/>
    </row>
    <row r="81" spans="1:6" ht="22.5">
      <c r="A81" s="372" t="s">
        <v>35</v>
      </c>
      <c r="B81" s="373" t="s">
        <v>34</v>
      </c>
      <c r="C81" s="697" t="s">
        <v>323</v>
      </c>
      <c r="D81" s="698"/>
      <c r="E81" s="697" t="s">
        <v>37</v>
      </c>
      <c r="F81" s="698"/>
    </row>
    <row r="82" spans="1:6" ht="22.5">
      <c r="A82" s="374" t="s">
        <v>43</v>
      </c>
      <c r="B82" s="375"/>
      <c r="C82" s="376">
        <v>9440</v>
      </c>
      <c r="D82" s="377" t="s">
        <v>52</v>
      </c>
      <c r="E82" s="378"/>
      <c r="F82" s="379"/>
    </row>
    <row r="83" spans="1:6" ht="22.5">
      <c r="A83" s="380" t="s">
        <v>543</v>
      </c>
      <c r="B83" s="381"/>
      <c r="C83" s="382"/>
      <c r="D83" s="383"/>
      <c r="E83" s="384">
        <f>C82</f>
        <v>9440</v>
      </c>
      <c r="F83" s="381" t="s">
        <v>52</v>
      </c>
    </row>
    <row r="84" spans="1:6" ht="22.5">
      <c r="A84" s="374"/>
      <c r="B84" s="381"/>
      <c r="C84" s="382"/>
      <c r="D84" s="383"/>
      <c r="E84" s="385"/>
      <c r="F84" s="386"/>
    </row>
    <row r="85" spans="1:6" ht="22.5">
      <c r="A85" s="374"/>
      <c r="B85" s="381"/>
      <c r="C85" s="385"/>
      <c r="D85" s="383"/>
      <c r="E85" s="385"/>
      <c r="F85" s="386"/>
    </row>
    <row r="86" spans="1:6" ht="22.5">
      <c r="A86" s="374"/>
      <c r="B86" s="381"/>
      <c r="C86" s="385"/>
      <c r="D86" s="383"/>
      <c r="E86" s="385"/>
      <c r="F86" s="386"/>
    </row>
    <row r="87" spans="1:6" ht="22.5">
      <c r="A87" s="374"/>
      <c r="B87" s="381"/>
      <c r="C87" s="385"/>
      <c r="D87" s="383"/>
      <c r="E87" s="385"/>
      <c r="F87" s="386"/>
    </row>
    <row r="88" spans="1:6" ht="22.5">
      <c r="A88" s="387"/>
      <c r="B88" s="381"/>
      <c r="C88" s="382"/>
      <c r="D88" s="383"/>
      <c r="E88" s="385"/>
      <c r="F88" s="386"/>
    </row>
    <row r="89" spans="1:6" ht="22.5">
      <c r="A89" s="374"/>
      <c r="B89" s="381"/>
      <c r="C89" s="382"/>
      <c r="D89" s="383"/>
      <c r="E89" s="385"/>
      <c r="F89" s="386"/>
    </row>
    <row r="90" spans="1:6" ht="22.5">
      <c r="A90" s="374"/>
      <c r="B90" s="381"/>
      <c r="C90" s="374"/>
      <c r="D90" s="383"/>
      <c r="E90" s="382"/>
      <c r="F90" s="386"/>
    </row>
    <row r="91" spans="1:6" ht="22.5">
      <c r="A91" s="388"/>
      <c r="B91" s="389"/>
      <c r="C91" s="390"/>
      <c r="D91" s="391"/>
      <c r="E91" s="392"/>
      <c r="F91" s="391"/>
    </row>
    <row r="92" spans="1:6" ht="22.5">
      <c r="A92" s="393" t="s">
        <v>331</v>
      </c>
      <c r="B92" s="394"/>
      <c r="C92" s="395"/>
      <c r="D92" s="383"/>
      <c r="E92" s="396"/>
      <c r="F92" s="386"/>
    </row>
    <row r="93" spans="1:6" ht="22.5">
      <c r="A93" s="692" t="s">
        <v>544</v>
      </c>
      <c r="B93" s="693"/>
      <c r="C93" s="693"/>
      <c r="D93" s="693"/>
      <c r="E93" s="693"/>
      <c r="F93" s="694"/>
    </row>
    <row r="94" spans="1:6" ht="22.5">
      <c r="A94" s="397" t="s">
        <v>545</v>
      </c>
      <c r="B94" s="394"/>
      <c r="C94" s="395"/>
      <c r="D94" s="383"/>
      <c r="E94" s="396"/>
      <c r="F94" s="386"/>
    </row>
    <row r="95" spans="1:6" ht="22.5">
      <c r="A95" s="398"/>
      <c r="B95" s="399"/>
      <c r="C95" s="395"/>
      <c r="D95" s="383"/>
      <c r="E95" s="396"/>
      <c r="F95" s="386"/>
    </row>
    <row r="96" spans="1:6" ht="22.5">
      <c r="A96" s="398"/>
      <c r="B96" s="399"/>
      <c r="C96" s="395"/>
      <c r="D96" s="383"/>
      <c r="E96" s="396"/>
      <c r="F96" s="386"/>
    </row>
    <row r="97" spans="1:6" ht="22.5">
      <c r="A97" s="398"/>
      <c r="B97" s="399"/>
      <c r="C97" s="395"/>
      <c r="D97" s="383"/>
      <c r="E97" s="396"/>
      <c r="F97" s="386"/>
    </row>
    <row r="98" spans="1:6" ht="22.5">
      <c r="A98" s="400"/>
      <c r="B98" s="394"/>
      <c r="C98" s="395"/>
      <c r="D98" s="383"/>
      <c r="E98" s="396"/>
      <c r="F98" s="386"/>
    </row>
    <row r="99" spans="1:6" ht="22.5">
      <c r="A99" s="400"/>
      <c r="B99" s="394"/>
      <c r="C99" s="395"/>
      <c r="D99" s="383"/>
      <c r="E99" s="396"/>
      <c r="F99" s="386"/>
    </row>
    <row r="100" spans="1:6" ht="22.5">
      <c r="A100" s="397" t="s">
        <v>332</v>
      </c>
      <c r="B100" s="395"/>
      <c r="C100" s="395"/>
      <c r="D100" s="383"/>
      <c r="E100" s="395"/>
      <c r="F100" s="379"/>
    </row>
    <row r="101" spans="1:6" ht="22.5">
      <c r="A101" s="397"/>
      <c r="B101" s="395"/>
      <c r="C101" s="395"/>
      <c r="D101" s="383"/>
      <c r="E101" s="395"/>
      <c r="F101" s="379"/>
    </row>
    <row r="102" spans="1:6" ht="22.5">
      <c r="A102" s="692"/>
      <c r="B102" s="693"/>
      <c r="C102" s="693"/>
      <c r="D102" s="693"/>
      <c r="E102" s="693"/>
      <c r="F102" s="694"/>
    </row>
    <row r="103" spans="1:6" ht="22.5">
      <c r="A103" s="397"/>
      <c r="B103" s="394"/>
      <c r="C103" s="395"/>
      <c r="D103" s="383"/>
      <c r="E103" s="396"/>
      <c r="F103" s="386"/>
    </row>
    <row r="104" spans="1:6" ht="22.5">
      <c r="A104" s="388"/>
      <c r="B104" s="401"/>
      <c r="C104" s="401"/>
      <c r="D104" s="401"/>
      <c r="E104" s="401"/>
      <c r="F104" s="402"/>
    </row>
    <row r="105" spans="1:6" ht="22.5">
      <c r="A105" s="395"/>
      <c r="B105" s="395"/>
      <c r="C105" s="395"/>
      <c r="D105" s="395"/>
      <c r="E105" s="395"/>
      <c r="F105" s="395"/>
    </row>
    <row r="106" spans="1:6" ht="22.5">
      <c r="A106" s="395"/>
      <c r="B106" s="395"/>
      <c r="C106" s="395"/>
      <c r="D106" s="395"/>
      <c r="E106" s="395"/>
      <c r="F106" s="395"/>
    </row>
    <row r="107" spans="1:6" ht="22.5">
      <c r="A107" s="395"/>
      <c r="B107" s="395"/>
      <c r="C107" s="395"/>
      <c r="D107" s="395"/>
      <c r="E107" s="395"/>
      <c r="F107" s="395"/>
    </row>
    <row r="108" spans="1:6" ht="22.5">
      <c r="A108" s="395"/>
      <c r="B108" s="395"/>
      <c r="C108" s="395"/>
      <c r="D108" s="395"/>
      <c r="E108" s="395"/>
      <c r="F108" s="395"/>
    </row>
    <row r="109" spans="1:6" ht="22.5">
      <c r="A109" s="395"/>
      <c r="B109" s="395"/>
      <c r="C109" s="395"/>
      <c r="D109" s="395"/>
      <c r="E109" s="395"/>
      <c r="F109" s="395"/>
    </row>
    <row r="110" spans="1:6" ht="22.5">
      <c r="A110" s="395"/>
      <c r="B110" s="395"/>
      <c r="C110" s="395"/>
      <c r="D110" s="395"/>
      <c r="E110" s="395"/>
      <c r="F110" s="395"/>
    </row>
    <row r="111" spans="1:6" ht="22.5">
      <c r="A111" s="395"/>
      <c r="B111" s="395"/>
      <c r="C111" s="395"/>
      <c r="D111" s="395"/>
      <c r="E111" s="395"/>
      <c r="F111" s="395"/>
    </row>
    <row r="112" spans="1:6" ht="22.5">
      <c r="A112" s="395"/>
      <c r="B112" s="395"/>
      <c r="C112" s="395"/>
      <c r="D112" s="395"/>
      <c r="E112" s="395"/>
      <c r="F112" s="395"/>
    </row>
    <row r="113" spans="1:6" ht="22.5">
      <c r="A113" s="395"/>
      <c r="B113" s="395"/>
      <c r="C113" s="395"/>
      <c r="D113" s="395"/>
      <c r="E113" s="395"/>
      <c r="F113" s="395"/>
    </row>
    <row r="114" spans="1:6" ht="22.5">
      <c r="A114" s="395"/>
      <c r="B114" s="395"/>
      <c r="C114" s="395"/>
      <c r="D114" s="395"/>
      <c r="E114" s="395"/>
      <c r="F114" s="395"/>
    </row>
    <row r="115" spans="1:6" ht="22.5">
      <c r="A115" s="695" t="s">
        <v>533</v>
      </c>
      <c r="B115" s="695"/>
      <c r="C115" s="695"/>
      <c r="D115" s="695"/>
      <c r="E115" s="695"/>
      <c r="F115" s="695"/>
    </row>
    <row r="116" spans="1:6" ht="22.5">
      <c r="A116" s="695" t="s">
        <v>542</v>
      </c>
      <c r="B116" s="695"/>
      <c r="C116" s="695"/>
      <c r="D116" s="695"/>
      <c r="E116" s="695"/>
      <c r="F116" s="695"/>
    </row>
    <row r="117" spans="1:6" ht="22.5">
      <c r="A117" s="696" t="s">
        <v>330</v>
      </c>
      <c r="B117" s="696"/>
      <c r="C117" s="696"/>
      <c r="D117" s="696"/>
      <c r="E117" s="696"/>
      <c r="F117" s="696"/>
    </row>
    <row r="118" spans="1:6" ht="22.5">
      <c r="A118" s="371" t="s">
        <v>322</v>
      </c>
      <c r="B118" s="371"/>
      <c r="C118" s="371"/>
      <c r="D118" s="371"/>
      <c r="E118" s="371"/>
      <c r="F118" s="371"/>
    </row>
    <row r="119" spans="1:6" ht="22.5">
      <c r="A119" s="372" t="s">
        <v>35</v>
      </c>
      <c r="B119" s="373" t="s">
        <v>34</v>
      </c>
      <c r="C119" s="697" t="s">
        <v>323</v>
      </c>
      <c r="D119" s="698"/>
      <c r="E119" s="697" t="s">
        <v>37</v>
      </c>
      <c r="F119" s="698"/>
    </row>
    <row r="120" spans="1:6" ht="22.5">
      <c r="A120" s="374" t="s">
        <v>43</v>
      </c>
      <c r="B120" s="375"/>
      <c r="C120" s="376">
        <v>800</v>
      </c>
      <c r="D120" s="377" t="s">
        <v>52</v>
      </c>
      <c r="E120" s="378"/>
      <c r="F120" s="379"/>
    </row>
    <row r="121" spans="1:6" ht="22.5">
      <c r="A121" s="380" t="s">
        <v>543</v>
      </c>
      <c r="B121" s="381"/>
      <c r="C121" s="382"/>
      <c r="D121" s="383"/>
      <c r="E121" s="384">
        <f>C120</f>
        <v>800</v>
      </c>
      <c r="F121" s="381" t="s">
        <v>52</v>
      </c>
    </row>
    <row r="122" spans="1:6" ht="22.5">
      <c r="A122" s="374"/>
      <c r="B122" s="381"/>
      <c r="C122" s="382"/>
      <c r="D122" s="383"/>
      <c r="E122" s="385"/>
      <c r="F122" s="386"/>
    </row>
    <row r="123" spans="1:6" ht="22.5">
      <c r="A123" s="374"/>
      <c r="B123" s="381"/>
      <c r="C123" s="385"/>
      <c r="D123" s="383"/>
      <c r="E123" s="385"/>
      <c r="F123" s="386"/>
    </row>
    <row r="124" spans="1:6" ht="22.5">
      <c r="A124" s="374"/>
      <c r="B124" s="381"/>
      <c r="C124" s="385"/>
      <c r="D124" s="383"/>
      <c r="E124" s="385"/>
      <c r="F124" s="386"/>
    </row>
    <row r="125" spans="1:6" ht="22.5">
      <c r="A125" s="374"/>
      <c r="B125" s="381"/>
      <c r="C125" s="385"/>
      <c r="D125" s="383"/>
      <c r="E125" s="385"/>
      <c r="F125" s="386"/>
    </row>
    <row r="126" spans="1:6" ht="22.5">
      <c r="A126" s="387"/>
      <c r="B126" s="381"/>
      <c r="C126" s="382"/>
      <c r="D126" s="383"/>
      <c r="E126" s="385"/>
      <c r="F126" s="386"/>
    </row>
    <row r="127" spans="1:6" ht="22.5">
      <c r="A127" s="374"/>
      <c r="B127" s="381"/>
      <c r="C127" s="382"/>
      <c r="D127" s="383"/>
      <c r="E127" s="385"/>
      <c r="F127" s="386"/>
    </row>
    <row r="128" spans="1:6" ht="22.5">
      <c r="A128" s="374"/>
      <c r="B128" s="381"/>
      <c r="C128" s="374"/>
      <c r="D128" s="383"/>
      <c r="E128" s="382"/>
      <c r="F128" s="386"/>
    </row>
    <row r="129" spans="1:6" ht="22.5">
      <c r="A129" s="388"/>
      <c r="B129" s="389"/>
      <c r="C129" s="390"/>
      <c r="D129" s="391"/>
      <c r="E129" s="392"/>
      <c r="F129" s="391"/>
    </row>
    <row r="130" spans="1:6" ht="22.5">
      <c r="A130" s="393" t="s">
        <v>331</v>
      </c>
      <c r="B130" s="394"/>
      <c r="C130" s="395"/>
      <c r="D130" s="383"/>
      <c r="E130" s="396"/>
      <c r="F130" s="386"/>
    </row>
    <row r="131" spans="1:6" ht="22.5">
      <c r="A131" s="692" t="s">
        <v>549</v>
      </c>
      <c r="B131" s="693"/>
      <c r="C131" s="693"/>
      <c r="D131" s="693"/>
      <c r="E131" s="693"/>
      <c r="F131" s="694"/>
    </row>
    <row r="132" spans="1:6" ht="22.5">
      <c r="A132" s="397" t="s">
        <v>546</v>
      </c>
      <c r="B132" s="394"/>
      <c r="C132" s="395"/>
      <c r="D132" s="383"/>
      <c r="E132" s="396"/>
      <c r="F132" s="386"/>
    </row>
    <row r="133" spans="1:6" ht="22.5">
      <c r="A133" s="398"/>
      <c r="B133" s="399"/>
      <c r="C133" s="395"/>
      <c r="D133" s="383"/>
      <c r="E133" s="396"/>
      <c r="F133" s="386"/>
    </row>
    <row r="134" spans="1:6" ht="22.5">
      <c r="A134" s="398"/>
      <c r="B134" s="399"/>
      <c r="C134" s="395"/>
      <c r="D134" s="383"/>
      <c r="E134" s="396"/>
      <c r="F134" s="386"/>
    </row>
    <row r="135" spans="1:6" ht="22.5">
      <c r="A135" s="398"/>
      <c r="B135" s="399"/>
      <c r="C135" s="395"/>
      <c r="D135" s="383"/>
      <c r="E135" s="396"/>
      <c r="F135" s="386"/>
    </row>
    <row r="136" spans="1:6" ht="22.5">
      <c r="A136" s="400"/>
      <c r="B136" s="394"/>
      <c r="C136" s="395"/>
      <c r="D136" s="383"/>
      <c r="E136" s="396"/>
      <c r="F136" s="386"/>
    </row>
    <row r="137" spans="1:6" ht="22.5">
      <c r="A137" s="400"/>
      <c r="B137" s="394"/>
      <c r="C137" s="395"/>
      <c r="D137" s="383"/>
      <c r="E137" s="396"/>
      <c r="F137" s="386"/>
    </row>
    <row r="138" spans="1:6" ht="22.5">
      <c r="A138" s="397" t="s">
        <v>332</v>
      </c>
      <c r="B138" s="395"/>
      <c r="C138" s="395"/>
      <c r="D138" s="383"/>
      <c r="E138" s="395"/>
      <c r="F138" s="379"/>
    </row>
    <row r="139" spans="1:6" ht="22.5">
      <c r="A139" s="397"/>
      <c r="B139" s="395"/>
      <c r="C139" s="395"/>
      <c r="D139" s="383"/>
      <c r="E139" s="395"/>
      <c r="F139" s="379"/>
    </row>
    <row r="140" spans="1:6" ht="22.5">
      <c r="A140" s="692"/>
      <c r="B140" s="693"/>
      <c r="C140" s="693"/>
      <c r="D140" s="693"/>
      <c r="E140" s="693"/>
      <c r="F140" s="694"/>
    </row>
    <row r="141" spans="1:6" ht="22.5">
      <c r="A141" s="397"/>
      <c r="B141" s="394"/>
      <c r="C141" s="395"/>
      <c r="D141" s="383"/>
      <c r="E141" s="396"/>
      <c r="F141" s="386"/>
    </row>
    <row r="142" spans="1:6" ht="22.5">
      <c r="A142" s="388"/>
      <c r="B142" s="401"/>
      <c r="C142" s="401"/>
      <c r="D142" s="401"/>
      <c r="E142" s="401"/>
      <c r="F142" s="402"/>
    </row>
    <row r="143" spans="1:6" ht="22.5">
      <c r="A143" s="395"/>
      <c r="B143" s="395"/>
      <c r="C143" s="395"/>
      <c r="D143" s="395"/>
      <c r="E143" s="395"/>
      <c r="F143" s="395"/>
    </row>
    <row r="144" spans="1:6" ht="22.5">
      <c r="A144" s="395"/>
      <c r="B144" s="395"/>
      <c r="C144" s="395"/>
      <c r="D144" s="395"/>
      <c r="E144" s="395"/>
      <c r="F144" s="395"/>
    </row>
    <row r="145" spans="1:6" ht="22.5">
      <c r="A145" s="395"/>
      <c r="B145" s="395"/>
      <c r="C145" s="395"/>
      <c r="D145" s="395"/>
      <c r="E145" s="395"/>
      <c r="F145" s="395"/>
    </row>
    <row r="146" spans="1:6" ht="22.5">
      <c r="A146" s="395"/>
      <c r="B146" s="395"/>
      <c r="C146" s="395"/>
      <c r="D146" s="395"/>
      <c r="E146" s="395"/>
      <c r="F146" s="395"/>
    </row>
    <row r="147" spans="1:6" ht="22.5">
      <c r="A147" s="395"/>
      <c r="B147" s="395"/>
      <c r="C147" s="395"/>
      <c r="D147" s="395"/>
      <c r="E147" s="395"/>
      <c r="F147" s="395"/>
    </row>
    <row r="148" spans="1:6" ht="22.5">
      <c r="A148" s="395"/>
      <c r="B148" s="395"/>
      <c r="C148" s="395"/>
      <c r="D148" s="395"/>
      <c r="E148" s="395"/>
      <c r="F148" s="395"/>
    </row>
    <row r="149" spans="1:6" ht="22.5">
      <c r="A149" s="395"/>
      <c r="B149" s="395"/>
      <c r="C149" s="395"/>
      <c r="D149" s="395"/>
      <c r="E149" s="395"/>
      <c r="F149" s="395"/>
    </row>
    <row r="150" spans="1:6" ht="22.5">
      <c r="A150" s="395"/>
      <c r="B150" s="395"/>
      <c r="C150" s="395"/>
      <c r="D150" s="395"/>
      <c r="E150" s="395"/>
      <c r="F150" s="395"/>
    </row>
    <row r="151" spans="1:6" ht="22.5">
      <c r="A151" s="395"/>
      <c r="B151" s="395"/>
      <c r="C151" s="395"/>
      <c r="D151" s="395"/>
      <c r="E151" s="395"/>
      <c r="F151" s="395"/>
    </row>
    <row r="152" spans="1:6" ht="22.5">
      <c r="A152" s="395"/>
      <c r="B152" s="395"/>
      <c r="C152" s="395"/>
      <c r="D152" s="395"/>
      <c r="E152" s="395"/>
      <c r="F152" s="395"/>
    </row>
    <row r="153" spans="1:6" ht="22.5">
      <c r="A153" s="695" t="s">
        <v>533</v>
      </c>
      <c r="B153" s="695"/>
      <c r="C153" s="695"/>
      <c r="D153" s="695"/>
      <c r="E153" s="695"/>
      <c r="F153" s="695"/>
    </row>
    <row r="154" spans="1:6" ht="22.5">
      <c r="A154" s="695" t="s">
        <v>542</v>
      </c>
      <c r="B154" s="695"/>
      <c r="C154" s="695"/>
      <c r="D154" s="695"/>
      <c r="E154" s="695"/>
      <c r="F154" s="695"/>
    </row>
    <row r="155" spans="1:6" ht="22.5">
      <c r="A155" s="696" t="s">
        <v>330</v>
      </c>
      <c r="B155" s="696"/>
      <c r="C155" s="696"/>
      <c r="D155" s="696"/>
      <c r="E155" s="696"/>
      <c r="F155" s="696"/>
    </row>
    <row r="156" spans="1:6" ht="22.5">
      <c r="A156" s="371" t="s">
        <v>322</v>
      </c>
      <c r="B156" s="371"/>
      <c r="C156" s="371"/>
      <c r="D156" s="371"/>
      <c r="E156" s="371"/>
      <c r="F156" s="371"/>
    </row>
    <row r="157" spans="1:6" ht="22.5">
      <c r="A157" s="372" t="s">
        <v>35</v>
      </c>
      <c r="B157" s="373" t="s">
        <v>34</v>
      </c>
      <c r="C157" s="697" t="s">
        <v>323</v>
      </c>
      <c r="D157" s="698"/>
      <c r="E157" s="697" t="s">
        <v>37</v>
      </c>
      <c r="F157" s="698"/>
    </row>
    <row r="158" spans="1:6" ht="22.5">
      <c r="A158" s="374" t="s">
        <v>43</v>
      </c>
      <c r="B158" s="375"/>
      <c r="C158" s="376">
        <v>800</v>
      </c>
      <c r="D158" s="377" t="s">
        <v>52</v>
      </c>
      <c r="E158" s="378"/>
      <c r="F158" s="379"/>
    </row>
    <row r="159" spans="1:6" ht="22.5">
      <c r="A159" s="380" t="s">
        <v>543</v>
      </c>
      <c r="B159" s="381"/>
      <c r="C159" s="382"/>
      <c r="D159" s="383"/>
      <c r="E159" s="384">
        <f>C158</f>
        <v>800</v>
      </c>
      <c r="F159" s="381" t="s">
        <v>52</v>
      </c>
    </row>
    <row r="160" spans="1:6" ht="22.5">
      <c r="A160" s="374"/>
      <c r="B160" s="381"/>
      <c r="C160" s="382"/>
      <c r="D160" s="383"/>
      <c r="E160" s="385"/>
      <c r="F160" s="386"/>
    </row>
    <row r="161" spans="1:6" ht="22.5">
      <c r="A161" s="374"/>
      <c r="B161" s="381"/>
      <c r="C161" s="385"/>
      <c r="D161" s="383"/>
      <c r="E161" s="385"/>
      <c r="F161" s="386"/>
    </row>
    <row r="162" spans="1:6" ht="22.5">
      <c r="A162" s="374"/>
      <c r="B162" s="381"/>
      <c r="C162" s="385"/>
      <c r="D162" s="383"/>
      <c r="E162" s="385"/>
      <c r="F162" s="386"/>
    </row>
    <row r="163" spans="1:6" ht="22.5">
      <c r="A163" s="374"/>
      <c r="B163" s="381"/>
      <c r="C163" s="385"/>
      <c r="D163" s="383"/>
      <c r="E163" s="385"/>
      <c r="F163" s="386"/>
    </row>
    <row r="164" spans="1:6" ht="22.5">
      <c r="A164" s="387"/>
      <c r="B164" s="381"/>
      <c r="C164" s="382"/>
      <c r="D164" s="383"/>
      <c r="E164" s="385"/>
      <c r="F164" s="386"/>
    </row>
    <row r="165" spans="1:6" ht="22.5">
      <c r="A165" s="374"/>
      <c r="B165" s="381"/>
      <c r="C165" s="382"/>
      <c r="D165" s="383"/>
      <c r="E165" s="385"/>
      <c r="F165" s="386"/>
    </row>
    <row r="166" spans="1:6" ht="22.5">
      <c r="A166" s="374"/>
      <c r="B166" s="381"/>
      <c r="C166" s="374"/>
      <c r="D166" s="383"/>
      <c r="E166" s="382"/>
      <c r="F166" s="386"/>
    </row>
    <row r="167" spans="1:6" ht="22.5">
      <c r="A167" s="388"/>
      <c r="B167" s="389"/>
      <c r="C167" s="390"/>
      <c r="D167" s="391"/>
      <c r="E167" s="392"/>
      <c r="F167" s="391"/>
    </row>
    <row r="168" spans="1:6" ht="22.5">
      <c r="A168" s="393" t="s">
        <v>331</v>
      </c>
      <c r="B168" s="394"/>
      <c r="C168" s="395"/>
      <c r="D168" s="383"/>
      <c r="E168" s="396"/>
      <c r="F168" s="386"/>
    </row>
    <row r="169" spans="1:6" ht="22.5">
      <c r="A169" s="692" t="s">
        <v>547</v>
      </c>
      <c r="B169" s="693"/>
      <c r="C169" s="693"/>
      <c r="D169" s="693"/>
      <c r="E169" s="693"/>
      <c r="F169" s="694"/>
    </row>
    <row r="170" spans="1:6" ht="22.5">
      <c r="A170" s="397" t="s">
        <v>548</v>
      </c>
      <c r="B170" s="394"/>
      <c r="C170" s="395"/>
      <c r="D170" s="383"/>
      <c r="E170" s="396"/>
      <c r="F170" s="386"/>
    </row>
    <row r="171" spans="1:6" ht="22.5">
      <c r="A171" s="398"/>
      <c r="B171" s="399"/>
      <c r="C171" s="395"/>
      <c r="D171" s="383"/>
      <c r="E171" s="396"/>
      <c r="F171" s="386"/>
    </row>
    <row r="172" spans="1:6" ht="22.5">
      <c r="A172" s="398"/>
      <c r="B172" s="399"/>
      <c r="C172" s="395"/>
      <c r="D172" s="383"/>
      <c r="E172" s="396"/>
      <c r="F172" s="386"/>
    </row>
    <row r="173" spans="1:6" ht="22.5">
      <c r="A173" s="398"/>
      <c r="B173" s="399"/>
      <c r="C173" s="395"/>
      <c r="D173" s="383"/>
      <c r="E173" s="396"/>
      <c r="F173" s="386"/>
    </row>
    <row r="174" spans="1:6" ht="22.5">
      <c r="A174" s="400"/>
      <c r="B174" s="394"/>
      <c r="C174" s="395"/>
      <c r="D174" s="383"/>
      <c r="E174" s="396"/>
      <c r="F174" s="386"/>
    </row>
    <row r="175" spans="1:6" ht="22.5">
      <c r="A175" s="400"/>
      <c r="B175" s="394"/>
      <c r="C175" s="395"/>
      <c r="D175" s="383"/>
      <c r="E175" s="396"/>
      <c r="F175" s="386"/>
    </row>
    <row r="176" spans="1:6" ht="22.5">
      <c r="A176" s="397" t="s">
        <v>332</v>
      </c>
      <c r="B176" s="395"/>
      <c r="C176" s="395"/>
      <c r="D176" s="383"/>
      <c r="E176" s="395"/>
      <c r="F176" s="379"/>
    </row>
    <row r="177" spans="1:6" ht="22.5">
      <c r="A177" s="397"/>
      <c r="B177" s="395"/>
      <c r="C177" s="395"/>
      <c r="D177" s="383"/>
      <c r="E177" s="395"/>
      <c r="F177" s="379"/>
    </row>
    <row r="178" spans="1:6" ht="22.5">
      <c r="A178" s="692"/>
      <c r="B178" s="693"/>
      <c r="C178" s="693"/>
      <c r="D178" s="693"/>
      <c r="E178" s="693"/>
      <c r="F178" s="694"/>
    </row>
    <row r="179" spans="1:6" ht="22.5">
      <c r="A179" s="397"/>
      <c r="B179" s="394"/>
      <c r="C179" s="395"/>
      <c r="D179" s="383"/>
      <c r="E179" s="396"/>
      <c r="F179" s="386"/>
    </row>
    <row r="180" spans="1:6" ht="22.5">
      <c r="A180" s="388"/>
      <c r="B180" s="401"/>
      <c r="C180" s="401"/>
      <c r="D180" s="401"/>
      <c r="E180" s="401"/>
      <c r="F180" s="402"/>
    </row>
    <row r="191" spans="1:6" ht="22.5">
      <c r="A191" s="695" t="s">
        <v>533</v>
      </c>
      <c r="B191" s="695"/>
      <c r="C191" s="695"/>
      <c r="D191" s="695"/>
      <c r="E191" s="695"/>
      <c r="F191" s="695"/>
    </row>
    <row r="192" spans="1:6" ht="22.5">
      <c r="A192" s="695" t="s">
        <v>542</v>
      </c>
      <c r="B192" s="695"/>
      <c r="C192" s="695"/>
      <c r="D192" s="695"/>
      <c r="E192" s="695"/>
      <c r="F192" s="695"/>
    </row>
    <row r="193" spans="1:6" ht="22.5">
      <c r="A193" s="696" t="s">
        <v>330</v>
      </c>
      <c r="B193" s="696"/>
      <c r="C193" s="696"/>
      <c r="D193" s="696"/>
      <c r="E193" s="696"/>
      <c r="F193" s="696"/>
    </row>
    <row r="194" spans="1:6" ht="22.5">
      <c r="A194" s="371" t="s">
        <v>322</v>
      </c>
      <c r="B194" s="371"/>
      <c r="C194" s="371"/>
      <c r="D194" s="371"/>
      <c r="E194" s="371"/>
      <c r="F194" s="371"/>
    </row>
    <row r="195" spans="1:6" ht="22.5">
      <c r="A195" s="372" t="s">
        <v>35</v>
      </c>
      <c r="B195" s="373" t="s">
        <v>34</v>
      </c>
      <c r="C195" s="697" t="s">
        <v>323</v>
      </c>
      <c r="D195" s="698"/>
      <c r="E195" s="697" t="s">
        <v>37</v>
      </c>
      <c r="F195" s="698"/>
    </row>
    <row r="196" spans="1:6" ht="22.5">
      <c r="A196" s="374" t="s">
        <v>43</v>
      </c>
      <c r="B196" s="375"/>
      <c r="C196" s="376">
        <v>800</v>
      </c>
      <c r="D196" s="377" t="s">
        <v>52</v>
      </c>
      <c r="E196" s="378"/>
      <c r="F196" s="379"/>
    </row>
    <row r="197" spans="1:6" ht="22.5">
      <c r="A197" s="380" t="s">
        <v>543</v>
      </c>
      <c r="B197" s="381"/>
      <c r="C197" s="382"/>
      <c r="D197" s="383"/>
      <c r="E197" s="384">
        <f>C196</f>
        <v>800</v>
      </c>
      <c r="F197" s="381" t="s">
        <v>52</v>
      </c>
    </row>
    <row r="198" spans="1:6" ht="22.5">
      <c r="A198" s="374"/>
      <c r="B198" s="381"/>
      <c r="C198" s="382"/>
      <c r="D198" s="383"/>
      <c r="E198" s="385"/>
      <c r="F198" s="386"/>
    </row>
    <row r="199" spans="1:6" ht="22.5">
      <c r="A199" s="374"/>
      <c r="B199" s="381"/>
      <c r="C199" s="385"/>
      <c r="D199" s="383"/>
      <c r="E199" s="385"/>
      <c r="F199" s="386"/>
    </row>
    <row r="200" spans="1:6" ht="22.5">
      <c r="A200" s="374"/>
      <c r="B200" s="381"/>
      <c r="C200" s="385"/>
      <c r="D200" s="383"/>
      <c r="E200" s="385"/>
      <c r="F200" s="386"/>
    </row>
    <row r="201" spans="1:6" ht="22.5">
      <c r="A201" s="374"/>
      <c r="B201" s="381"/>
      <c r="C201" s="385"/>
      <c r="D201" s="383"/>
      <c r="E201" s="385"/>
      <c r="F201" s="386"/>
    </row>
    <row r="202" spans="1:6" ht="22.5">
      <c r="A202" s="387"/>
      <c r="B202" s="381"/>
      <c r="C202" s="382"/>
      <c r="D202" s="383"/>
      <c r="E202" s="385"/>
      <c r="F202" s="386"/>
    </row>
    <row r="203" spans="1:6" ht="22.5">
      <c r="A203" s="374"/>
      <c r="B203" s="381"/>
      <c r="C203" s="382"/>
      <c r="D203" s="383"/>
      <c r="E203" s="385"/>
      <c r="F203" s="386"/>
    </row>
    <row r="204" spans="1:6" ht="22.5">
      <c r="A204" s="374"/>
      <c r="B204" s="381"/>
      <c r="C204" s="374"/>
      <c r="D204" s="383"/>
      <c r="E204" s="382"/>
      <c r="F204" s="386"/>
    </row>
    <row r="205" spans="1:6" ht="22.5">
      <c r="A205" s="388"/>
      <c r="B205" s="389"/>
      <c r="C205" s="390"/>
      <c r="D205" s="391"/>
      <c r="E205" s="392"/>
      <c r="F205" s="391"/>
    </row>
    <row r="206" spans="1:6" ht="22.5">
      <c r="A206" s="393" t="s">
        <v>331</v>
      </c>
      <c r="B206" s="394"/>
      <c r="C206" s="395"/>
      <c r="D206" s="383"/>
      <c r="E206" s="396"/>
      <c r="F206" s="386"/>
    </row>
    <row r="207" spans="1:6" ht="22.5">
      <c r="A207" s="692" t="s">
        <v>547</v>
      </c>
      <c r="B207" s="693"/>
      <c r="C207" s="693"/>
      <c r="D207" s="693"/>
      <c r="E207" s="693"/>
      <c r="F207" s="694"/>
    </row>
    <row r="208" spans="1:6" ht="22.5">
      <c r="A208" s="397" t="s">
        <v>548</v>
      </c>
      <c r="B208" s="394"/>
      <c r="C208" s="395"/>
      <c r="D208" s="383"/>
      <c r="E208" s="396"/>
      <c r="F208" s="386"/>
    </row>
    <row r="209" spans="1:6" ht="22.5">
      <c r="A209" s="398"/>
      <c r="B209" s="399"/>
      <c r="C209" s="395"/>
      <c r="D209" s="383"/>
      <c r="E209" s="396"/>
      <c r="F209" s="386"/>
    </row>
    <row r="210" spans="1:6" ht="22.5">
      <c r="A210" s="398"/>
      <c r="B210" s="399"/>
      <c r="C210" s="395"/>
      <c r="D210" s="383"/>
      <c r="E210" s="396"/>
      <c r="F210" s="386"/>
    </row>
    <row r="211" spans="1:6" ht="22.5">
      <c r="A211" s="398"/>
      <c r="B211" s="399"/>
      <c r="C211" s="395"/>
      <c r="D211" s="383"/>
      <c r="E211" s="396"/>
      <c r="F211" s="386"/>
    </row>
    <row r="212" spans="1:6" ht="22.5">
      <c r="A212" s="400"/>
      <c r="B212" s="394"/>
      <c r="C212" s="395"/>
      <c r="D212" s="383"/>
      <c r="E212" s="396"/>
      <c r="F212" s="386"/>
    </row>
    <row r="213" spans="1:6" ht="22.5">
      <c r="A213" s="400"/>
      <c r="B213" s="394"/>
      <c r="C213" s="395"/>
      <c r="D213" s="383"/>
      <c r="E213" s="396"/>
      <c r="F213" s="386"/>
    </row>
    <row r="214" spans="1:6" ht="22.5">
      <c r="A214" s="397" t="s">
        <v>332</v>
      </c>
      <c r="B214" s="395"/>
      <c r="C214" s="395"/>
      <c r="D214" s="383"/>
      <c r="E214" s="395"/>
      <c r="F214" s="379"/>
    </row>
    <row r="215" spans="1:6" ht="22.5">
      <c r="A215" s="397"/>
      <c r="B215" s="395"/>
      <c r="C215" s="395"/>
      <c r="D215" s="383"/>
      <c r="E215" s="395"/>
      <c r="F215" s="379"/>
    </row>
    <row r="216" spans="1:6" ht="22.5">
      <c r="A216" s="692"/>
      <c r="B216" s="693"/>
      <c r="C216" s="693"/>
      <c r="D216" s="693"/>
      <c r="E216" s="693"/>
      <c r="F216" s="694"/>
    </row>
    <row r="217" spans="1:6" ht="22.5">
      <c r="A217" s="397"/>
      <c r="B217" s="394"/>
      <c r="C217" s="395"/>
      <c r="D217" s="383"/>
      <c r="E217" s="396"/>
      <c r="F217" s="386"/>
    </row>
    <row r="218" spans="1:6" ht="22.5">
      <c r="A218" s="388"/>
      <c r="B218" s="401"/>
      <c r="C218" s="401"/>
      <c r="D218" s="401"/>
      <c r="E218" s="401"/>
      <c r="F218" s="402"/>
    </row>
  </sheetData>
  <sheetProtection/>
  <mergeCells count="42">
    <mergeCell ref="A207:F207"/>
    <mergeCell ref="A216:F216"/>
    <mergeCell ref="A191:F191"/>
    <mergeCell ref="A192:F192"/>
    <mergeCell ref="A193:F193"/>
    <mergeCell ref="C195:D195"/>
    <mergeCell ref="E195:F195"/>
    <mergeCell ref="A140:F140"/>
    <mergeCell ref="A117:F117"/>
    <mergeCell ref="C119:D119"/>
    <mergeCell ref="E119:F119"/>
    <mergeCell ref="A131:F131"/>
    <mergeCell ref="A93:F93"/>
    <mergeCell ref="A102:F102"/>
    <mergeCell ref="A115:F115"/>
    <mergeCell ref="A116:F116"/>
    <mergeCell ref="A78:F78"/>
    <mergeCell ref="A79:F79"/>
    <mergeCell ref="C81:D81"/>
    <mergeCell ref="E81:F81"/>
    <mergeCell ref="A1:F1"/>
    <mergeCell ref="A2:F2"/>
    <mergeCell ref="A3:F3"/>
    <mergeCell ref="C5:D5"/>
    <mergeCell ref="E5:F5"/>
    <mergeCell ref="C43:D43"/>
    <mergeCell ref="E43:F43"/>
    <mergeCell ref="A17:F17"/>
    <mergeCell ref="A23:F23"/>
    <mergeCell ref="A39:F39"/>
    <mergeCell ref="A40:F40"/>
    <mergeCell ref="A41:F41"/>
    <mergeCell ref="A55:F55"/>
    <mergeCell ref="A64:F64"/>
    <mergeCell ref="A169:F169"/>
    <mergeCell ref="A178:F178"/>
    <mergeCell ref="A153:F153"/>
    <mergeCell ref="A154:F154"/>
    <mergeCell ref="A155:F155"/>
    <mergeCell ref="C157:D157"/>
    <mergeCell ref="E157:F157"/>
    <mergeCell ref="A77:F77"/>
  </mergeCells>
  <printOptions/>
  <pageMargins left="0.42" right="0.17" top="0.63" bottom="1" header="0.26" footer="0.5"/>
  <pageSetup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G282"/>
  <sheetViews>
    <sheetView zoomScaleSheetLayoutView="100" zoomScalePageLayoutView="0" workbookViewId="0" topLeftCell="A19">
      <selection activeCell="J27" sqref="J27"/>
    </sheetView>
  </sheetViews>
  <sheetFormatPr defaultColWidth="9.140625" defaultRowHeight="21.75"/>
  <cols>
    <col min="1" max="1" width="5.00390625" style="13" customWidth="1"/>
    <col min="2" max="2" width="50.28125" style="13" customWidth="1"/>
    <col min="3" max="3" width="8.00390625" style="13" customWidth="1"/>
    <col min="4" max="4" width="13.421875" style="13" customWidth="1"/>
    <col min="5" max="5" width="4.57421875" style="13" customWidth="1"/>
    <col min="6" max="6" width="11.421875" style="13" customWidth="1"/>
    <col min="7" max="7" width="4.28125" style="13" customWidth="1"/>
    <col min="8" max="16384" width="9.140625" style="13" customWidth="1"/>
  </cols>
  <sheetData>
    <row r="1" spans="2:7" ht="22.5">
      <c r="B1" s="695" t="s">
        <v>540</v>
      </c>
      <c r="C1" s="695"/>
      <c r="D1" s="695"/>
      <c r="E1" s="695"/>
      <c r="F1" s="695"/>
      <c r="G1" s="695"/>
    </row>
    <row r="2" spans="2:7" ht="22.5">
      <c r="B2" s="695" t="s">
        <v>581</v>
      </c>
      <c r="C2" s="695"/>
      <c r="D2" s="695"/>
      <c r="E2" s="695"/>
      <c r="F2" s="695"/>
      <c r="G2" s="695"/>
    </row>
    <row r="3" spans="2:7" ht="22.5">
      <c r="B3" s="696" t="s">
        <v>330</v>
      </c>
      <c r="C3" s="696"/>
      <c r="D3" s="696"/>
      <c r="E3" s="696"/>
      <c r="F3" s="696"/>
      <c r="G3" s="696"/>
    </row>
    <row r="4" spans="2:7" ht="22.5">
      <c r="B4" s="371" t="s">
        <v>322</v>
      </c>
      <c r="C4" s="371"/>
      <c r="D4" s="371"/>
      <c r="E4" s="371"/>
      <c r="F4" s="371"/>
      <c r="G4" s="371"/>
    </row>
    <row r="5" spans="2:7" ht="22.5">
      <c r="B5" s="372" t="s">
        <v>35</v>
      </c>
      <c r="C5" s="373" t="s">
        <v>34</v>
      </c>
      <c r="D5" s="697" t="s">
        <v>323</v>
      </c>
      <c r="E5" s="698"/>
      <c r="F5" s="699" t="s">
        <v>37</v>
      </c>
      <c r="G5" s="698"/>
    </row>
    <row r="6" spans="2:7" ht="23.25">
      <c r="B6" s="378" t="s">
        <v>14</v>
      </c>
      <c r="C6" s="375"/>
      <c r="D6" s="485">
        <v>2409545</v>
      </c>
      <c r="E6" s="414">
        <v>45</v>
      </c>
      <c r="F6" s="378"/>
      <c r="G6" s="379"/>
    </row>
    <row r="7" spans="2:7" ht="22.5">
      <c r="B7" s="374" t="s">
        <v>15</v>
      </c>
      <c r="C7" s="381"/>
      <c r="D7" s="382"/>
      <c r="E7" s="383"/>
      <c r="F7" s="382">
        <f>D6</f>
        <v>2409545</v>
      </c>
      <c r="G7" s="415">
        <f>E6</f>
        <v>45</v>
      </c>
    </row>
    <row r="8" spans="2:7" ht="22.5">
      <c r="B8" s="374"/>
      <c r="C8" s="381"/>
      <c r="D8" s="382"/>
      <c r="E8" s="383"/>
      <c r="F8" s="385"/>
      <c r="G8" s="386"/>
    </row>
    <row r="9" spans="2:7" ht="22.5">
      <c r="B9" s="374"/>
      <c r="C9" s="381"/>
      <c r="D9" s="385"/>
      <c r="E9" s="383"/>
      <c r="F9" s="385"/>
      <c r="G9" s="386"/>
    </row>
    <row r="10" spans="2:7" ht="22.5">
      <c r="B10" s="374"/>
      <c r="C10" s="381"/>
      <c r="D10" s="385"/>
      <c r="E10" s="383"/>
      <c r="F10" s="385"/>
      <c r="G10" s="386"/>
    </row>
    <row r="11" spans="2:7" ht="22.5">
      <c r="B11" s="374"/>
      <c r="C11" s="381"/>
      <c r="D11" s="385"/>
      <c r="E11" s="383"/>
      <c r="F11" s="385"/>
      <c r="G11" s="386"/>
    </row>
    <row r="12" spans="2:7" ht="22.5">
      <c r="B12" s="387"/>
      <c r="C12" s="381"/>
      <c r="D12" s="382"/>
      <c r="E12" s="383"/>
      <c r="F12" s="385"/>
      <c r="G12" s="386"/>
    </row>
    <row r="13" spans="2:7" ht="22.5">
      <c r="B13" s="374"/>
      <c r="C13" s="381"/>
      <c r="D13" s="382"/>
      <c r="E13" s="383"/>
      <c r="F13" s="385"/>
      <c r="G13" s="386"/>
    </row>
    <row r="14" spans="2:7" ht="22.5">
      <c r="B14" s="374"/>
      <c r="C14" s="381"/>
      <c r="D14" s="382"/>
      <c r="E14" s="383"/>
      <c r="F14" s="385"/>
      <c r="G14" s="407"/>
    </row>
    <row r="15" spans="2:7" ht="22.5">
      <c r="B15" s="374"/>
      <c r="C15" s="381"/>
      <c r="D15" s="382"/>
      <c r="E15" s="383"/>
      <c r="F15" s="385"/>
      <c r="G15" s="386"/>
    </row>
    <row r="16" spans="2:7" ht="22.5">
      <c r="B16" s="374"/>
      <c r="C16" s="381"/>
      <c r="D16" s="382"/>
      <c r="E16" s="383"/>
      <c r="F16" s="385"/>
      <c r="G16" s="386"/>
    </row>
    <row r="17" spans="2:7" ht="22.5">
      <c r="B17" s="374"/>
      <c r="C17" s="381"/>
      <c r="D17" s="382"/>
      <c r="E17" s="383"/>
      <c r="F17" s="385"/>
      <c r="G17" s="386"/>
    </row>
    <row r="18" spans="2:7" ht="22.5">
      <c r="B18" s="374"/>
      <c r="C18" s="381"/>
      <c r="D18" s="385"/>
      <c r="E18" s="383"/>
      <c r="F18" s="385"/>
      <c r="G18" s="386"/>
    </row>
    <row r="19" spans="2:7" ht="22.5">
      <c r="B19" s="374"/>
      <c r="C19" s="381"/>
      <c r="D19" s="382"/>
      <c r="E19" s="383"/>
      <c r="F19" s="385"/>
      <c r="G19" s="386"/>
    </row>
    <row r="20" spans="2:7" ht="22.5">
      <c r="B20" s="374"/>
      <c r="C20" s="381"/>
      <c r="D20" s="382"/>
      <c r="E20" s="383"/>
      <c r="F20" s="385"/>
      <c r="G20" s="386"/>
    </row>
    <row r="21" spans="2:7" ht="22.5">
      <c r="B21" s="374"/>
      <c r="C21" s="381"/>
      <c r="D21" s="382"/>
      <c r="E21" s="383"/>
      <c r="F21" s="382"/>
      <c r="G21" s="386"/>
    </row>
    <row r="22" spans="2:7" ht="22.5">
      <c r="B22" s="374"/>
      <c r="C22" s="381"/>
      <c r="D22" s="382"/>
      <c r="E22" s="383"/>
      <c r="F22" s="382"/>
      <c r="G22" s="386"/>
    </row>
    <row r="23" spans="2:7" ht="22.5">
      <c r="B23" s="374"/>
      <c r="C23" s="381"/>
      <c r="D23" s="382"/>
      <c r="E23" s="383"/>
      <c r="F23" s="382"/>
      <c r="G23" s="386"/>
    </row>
    <row r="24" spans="2:7" ht="22.5">
      <c r="B24" s="374"/>
      <c r="C24" s="381"/>
      <c r="D24" s="374"/>
      <c r="E24" s="383"/>
      <c r="F24" s="382"/>
      <c r="G24" s="386"/>
    </row>
    <row r="25" spans="2:7" ht="22.5">
      <c r="B25" s="374"/>
      <c r="C25" s="381"/>
      <c r="D25" s="374"/>
      <c r="E25" s="383"/>
      <c r="F25" s="382"/>
      <c r="G25" s="386"/>
    </row>
    <row r="26" spans="2:7" ht="22.5">
      <c r="B26" s="388"/>
      <c r="C26" s="389"/>
      <c r="D26" s="390"/>
      <c r="E26" s="391"/>
      <c r="F26" s="392"/>
      <c r="G26" s="391"/>
    </row>
    <row r="27" spans="2:7" ht="22.5">
      <c r="B27" s="393" t="s">
        <v>331</v>
      </c>
      <c r="C27" s="394"/>
      <c r="D27" s="395"/>
      <c r="E27" s="383"/>
      <c r="F27" s="396"/>
      <c r="G27" s="386"/>
    </row>
    <row r="28" spans="2:7" ht="22.5">
      <c r="B28" s="692" t="s">
        <v>16</v>
      </c>
      <c r="C28" s="693"/>
      <c r="D28" s="693"/>
      <c r="E28" s="693"/>
      <c r="F28" s="693"/>
      <c r="G28" s="694"/>
    </row>
    <row r="29" spans="2:7" ht="22.5">
      <c r="B29" s="397" t="s">
        <v>582</v>
      </c>
      <c r="C29" s="394"/>
      <c r="D29" s="395"/>
      <c r="E29" s="383"/>
      <c r="F29" s="396"/>
      <c r="G29" s="386"/>
    </row>
    <row r="30" spans="2:7" ht="22.5">
      <c r="B30" s="397"/>
      <c r="C30" s="394"/>
      <c r="D30" s="395"/>
      <c r="E30" s="383"/>
      <c r="F30" s="396"/>
      <c r="G30" s="386"/>
    </row>
    <row r="31" spans="2:7" ht="22.5">
      <c r="B31" s="397" t="s">
        <v>328</v>
      </c>
      <c r="C31" s="395"/>
      <c r="D31" s="395"/>
      <c r="E31" s="383"/>
      <c r="F31" s="395"/>
      <c r="G31" s="379"/>
    </row>
    <row r="32" spans="2:7" ht="22.5">
      <c r="B32" s="397"/>
      <c r="C32" s="395"/>
      <c r="D32" s="395"/>
      <c r="E32" s="383"/>
      <c r="F32" s="395"/>
      <c r="G32" s="379"/>
    </row>
    <row r="33" spans="2:7" ht="22.5">
      <c r="B33" s="397"/>
      <c r="C33" s="395"/>
      <c r="D33" s="395"/>
      <c r="E33" s="383"/>
      <c r="F33" s="395"/>
      <c r="G33" s="379"/>
    </row>
    <row r="34" spans="2:7" ht="22.5">
      <c r="B34" s="388"/>
      <c r="C34" s="401"/>
      <c r="D34" s="401"/>
      <c r="E34" s="401"/>
      <c r="F34" s="401"/>
      <c r="G34" s="402"/>
    </row>
    <row r="36" spans="2:7" ht="22.5">
      <c r="B36" s="695" t="s">
        <v>17</v>
      </c>
      <c r="C36" s="695"/>
      <c r="D36" s="695"/>
      <c r="E36" s="695"/>
      <c r="F36" s="695"/>
      <c r="G36" s="695"/>
    </row>
    <row r="37" spans="2:7" ht="22.5">
      <c r="B37" s="695" t="s">
        <v>18</v>
      </c>
      <c r="C37" s="695"/>
      <c r="D37" s="695"/>
      <c r="E37" s="695"/>
      <c r="F37" s="695"/>
      <c r="G37" s="695"/>
    </row>
    <row r="38" spans="2:7" ht="22.5">
      <c r="B38" s="696" t="s">
        <v>330</v>
      </c>
      <c r="C38" s="696"/>
      <c r="D38" s="696"/>
      <c r="E38" s="696"/>
      <c r="F38" s="696"/>
      <c r="G38" s="696"/>
    </row>
    <row r="39" spans="2:7" ht="22.5">
      <c r="B39" s="371" t="s">
        <v>322</v>
      </c>
      <c r="C39" s="371"/>
      <c r="D39" s="371"/>
      <c r="E39" s="371"/>
      <c r="F39" s="371"/>
      <c r="G39" s="371"/>
    </row>
    <row r="40" spans="2:7" ht="22.5">
      <c r="B40" s="372" t="s">
        <v>35</v>
      </c>
      <c r="C40" s="373" t="s">
        <v>34</v>
      </c>
      <c r="D40" s="697" t="s">
        <v>323</v>
      </c>
      <c r="E40" s="698"/>
      <c r="F40" s="699" t="s">
        <v>37</v>
      </c>
      <c r="G40" s="698"/>
    </row>
    <row r="41" spans="2:7" ht="22.5">
      <c r="B41" s="378" t="s">
        <v>14</v>
      </c>
      <c r="C41" s="375"/>
      <c r="D41" s="404">
        <v>2478648</v>
      </c>
      <c r="E41" s="410">
        <v>79</v>
      </c>
      <c r="F41" s="378"/>
      <c r="G41" s="379"/>
    </row>
    <row r="42" spans="2:7" ht="22.5">
      <c r="B42" s="374" t="s">
        <v>15</v>
      </c>
      <c r="C42" s="381"/>
      <c r="D42" s="382"/>
      <c r="E42" s="383"/>
      <c r="F42" s="382">
        <f>D41</f>
        <v>2478648</v>
      </c>
      <c r="G42" s="411">
        <f>E41</f>
        <v>79</v>
      </c>
    </row>
    <row r="43" spans="2:7" ht="22.5">
      <c r="B43" s="374"/>
      <c r="C43" s="381"/>
      <c r="D43" s="382"/>
      <c r="E43" s="383"/>
      <c r="F43" s="385"/>
      <c r="G43" s="386"/>
    </row>
    <row r="44" spans="2:7" ht="22.5">
      <c r="B44" s="374"/>
      <c r="C44" s="381"/>
      <c r="D44" s="385"/>
      <c r="E44" s="383"/>
      <c r="F44" s="385"/>
      <c r="G44" s="386"/>
    </row>
    <row r="45" spans="2:7" ht="22.5">
      <c r="B45" s="374"/>
      <c r="C45" s="381"/>
      <c r="D45" s="385"/>
      <c r="E45" s="383"/>
      <c r="F45" s="385"/>
      <c r="G45" s="386"/>
    </row>
    <row r="46" spans="2:7" ht="22.5">
      <c r="B46" s="374"/>
      <c r="C46" s="381"/>
      <c r="D46" s="385"/>
      <c r="E46" s="383"/>
      <c r="F46" s="385"/>
      <c r="G46" s="386"/>
    </row>
    <row r="47" spans="2:7" ht="22.5">
      <c r="B47" s="374"/>
      <c r="C47" s="381"/>
      <c r="D47" s="382"/>
      <c r="E47" s="383"/>
      <c r="F47" s="385"/>
      <c r="G47" s="386"/>
    </row>
    <row r="48" spans="2:7" ht="22.5">
      <c r="B48" s="374"/>
      <c r="C48" s="381"/>
      <c r="D48" s="382"/>
      <c r="E48" s="383"/>
      <c r="F48" s="385"/>
      <c r="G48" s="386"/>
    </row>
    <row r="49" spans="2:7" ht="22.5">
      <c r="B49" s="374"/>
      <c r="C49" s="381"/>
      <c r="D49" s="382"/>
      <c r="E49" s="383"/>
      <c r="F49" s="382"/>
      <c r="G49" s="386"/>
    </row>
    <row r="50" spans="2:7" ht="22.5">
      <c r="B50" s="374"/>
      <c r="C50" s="381"/>
      <c r="D50" s="382"/>
      <c r="E50" s="383"/>
      <c r="F50" s="382"/>
      <c r="G50" s="386"/>
    </row>
    <row r="51" spans="2:7" ht="22.5">
      <c r="B51" s="374"/>
      <c r="C51" s="381"/>
      <c r="D51" s="382"/>
      <c r="E51" s="383"/>
      <c r="F51" s="382"/>
      <c r="G51" s="386"/>
    </row>
    <row r="52" spans="2:7" ht="22.5">
      <c r="B52" s="374"/>
      <c r="C52" s="381"/>
      <c r="D52" s="374"/>
      <c r="E52" s="383"/>
      <c r="F52" s="382"/>
      <c r="G52" s="386"/>
    </row>
    <row r="53" spans="2:7" ht="22.5">
      <c r="B53" s="374"/>
      <c r="C53" s="381"/>
      <c r="D53" s="374"/>
      <c r="E53" s="383"/>
      <c r="F53" s="382"/>
      <c r="G53" s="386"/>
    </row>
    <row r="54" spans="2:7" ht="22.5">
      <c r="B54" s="388"/>
      <c r="C54" s="389"/>
      <c r="D54" s="390"/>
      <c r="E54" s="391"/>
      <c r="F54" s="392"/>
      <c r="G54" s="391"/>
    </row>
    <row r="55" spans="2:7" ht="22.5">
      <c r="B55" s="393" t="s">
        <v>331</v>
      </c>
      <c r="C55" s="394"/>
      <c r="D55" s="395"/>
      <c r="E55" s="383"/>
      <c r="F55" s="396"/>
      <c r="G55" s="386"/>
    </row>
    <row r="56" spans="2:7" ht="22.5">
      <c r="B56" s="692" t="s">
        <v>16</v>
      </c>
      <c r="C56" s="693"/>
      <c r="D56" s="693"/>
      <c r="E56" s="693"/>
      <c r="F56" s="693"/>
      <c r="G56" s="694"/>
    </row>
    <row r="57" spans="2:7" ht="22.5">
      <c r="B57" s="397" t="s">
        <v>19</v>
      </c>
      <c r="C57" s="394"/>
      <c r="D57" s="395"/>
      <c r="E57" s="383"/>
      <c r="F57" s="396"/>
      <c r="G57" s="386"/>
    </row>
    <row r="58" spans="2:7" ht="22.5">
      <c r="B58" s="397"/>
      <c r="C58" s="394"/>
      <c r="D58" s="395"/>
      <c r="E58" s="383"/>
      <c r="F58" s="396"/>
      <c r="G58" s="386"/>
    </row>
    <row r="59" spans="2:7" ht="22.5">
      <c r="B59" s="397" t="s">
        <v>328</v>
      </c>
      <c r="C59" s="395"/>
      <c r="D59" s="395"/>
      <c r="E59" s="383"/>
      <c r="F59" s="395"/>
      <c r="G59" s="379"/>
    </row>
    <row r="60" spans="2:7" ht="22.5">
      <c r="B60" s="397"/>
      <c r="C60" s="395"/>
      <c r="D60" s="395"/>
      <c r="E60" s="383"/>
      <c r="F60" s="395"/>
      <c r="G60" s="379"/>
    </row>
    <row r="61" spans="2:7" ht="22.5">
      <c r="B61" s="388"/>
      <c r="C61" s="401"/>
      <c r="D61" s="401"/>
      <c r="E61" s="401"/>
      <c r="F61" s="401"/>
      <c r="G61" s="402"/>
    </row>
    <row r="73" spans="2:7" ht="22.5">
      <c r="B73" s="695" t="s">
        <v>2</v>
      </c>
      <c r="C73" s="695"/>
      <c r="D73" s="695"/>
      <c r="E73" s="695"/>
      <c r="F73" s="695"/>
      <c r="G73" s="695"/>
    </row>
    <row r="74" spans="2:7" ht="22.5">
      <c r="B74" s="695" t="s">
        <v>20</v>
      </c>
      <c r="C74" s="695"/>
      <c r="D74" s="695"/>
      <c r="E74" s="695"/>
      <c r="F74" s="695"/>
      <c r="G74" s="695"/>
    </row>
    <row r="75" spans="2:7" ht="22.5">
      <c r="B75" s="696" t="s">
        <v>330</v>
      </c>
      <c r="C75" s="696"/>
      <c r="D75" s="696"/>
      <c r="E75" s="696"/>
      <c r="F75" s="696"/>
      <c r="G75" s="696"/>
    </row>
    <row r="76" spans="2:7" ht="22.5">
      <c r="B76" s="371" t="s">
        <v>322</v>
      </c>
      <c r="C76" s="371"/>
      <c r="D76" s="371"/>
      <c r="E76" s="371"/>
      <c r="F76" s="371"/>
      <c r="G76" s="371"/>
    </row>
    <row r="77" spans="2:7" ht="22.5">
      <c r="B77" s="372" t="s">
        <v>35</v>
      </c>
      <c r="C77" s="373" t="s">
        <v>34</v>
      </c>
      <c r="D77" s="697" t="s">
        <v>323</v>
      </c>
      <c r="E77" s="698"/>
      <c r="F77" s="699" t="s">
        <v>37</v>
      </c>
      <c r="G77" s="698"/>
    </row>
    <row r="78" spans="2:7" ht="22.5">
      <c r="B78" s="378" t="s">
        <v>14</v>
      </c>
      <c r="C78" s="375"/>
      <c r="D78" s="404">
        <v>2288710</v>
      </c>
      <c r="E78" s="410">
        <v>77</v>
      </c>
      <c r="F78" s="378"/>
      <c r="G78" s="379"/>
    </row>
    <row r="79" spans="2:7" ht="22.5">
      <c r="B79" s="374" t="s">
        <v>15</v>
      </c>
      <c r="C79" s="381"/>
      <c r="D79" s="382"/>
      <c r="E79" s="383"/>
      <c r="F79" s="382">
        <f>D78</f>
        <v>2288710</v>
      </c>
      <c r="G79" s="411">
        <f>E78</f>
        <v>77</v>
      </c>
    </row>
    <row r="80" spans="2:7" ht="22.5">
      <c r="B80" s="374"/>
      <c r="C80" s="381"/>
      <c r="D80" s="382"/>
      <c r="E80" s="383"/>
      <c r="F80" s="385"/>
      <c r="G80" s="386"/>
    </row>
    <row r="81" spans="2:7" ht="22.5">
      <c r="B81" s="374"/>
      <c r="C81" s="381"/>
      <c r="D81" s="385"/>
      <c r="E81" s="383"/>
      <c r="F81" s="385"/>
      <c r="G81" s="386"/>
    </row>
    <row r="82" spans="2:7" ht="22.5">
      <c r="B82" s="374"/>
      <c r="C82" s="381"/>
      <c r="D82" s="385"/>
      <c r="E82" s="383"/>
      <c r="F82" s="385"/>
      <c r="G82" s="386"/>
    </row>
    <row r="83" spans="2:7" ht="22.5">
      <c r="B83" s="374"/>
      <c r="C83" s="381"/>
      <c r="D83" s="385"/>
      <c r="E83" s="383"/>
      <c r="F83" s="385"/>
      <c r="G83" s="386"/>
    </row>
    <row r="84" spans="2:7" ht="22.5">
      <c r="B84" s="374"/>
      <c r="C84" s="381"/>
      <c r="D84" s="382"/>
      <c r="E84" s="383"/>
      <c r="F84" s="382"/>
      <c r="G84" s="386"/>
    </row>
    <row r="85" spans="2:7" ht="22.5">
      <c r="B85" s="374"/>
      <c r="C85" s="381"/>
      <c r="D85" s="382"/>
      <c r="E85" s="383"/>
      <c r="F85" s="382"/>
      <c r="G85" s="386"/>
    </row>
    <row r="86" spans="2:7" ht="22.5">
      <c r="B86" s="374"/>
      <c r="C86" s="381"/>
      <c r="D86" s="382"/>
      <c r="E86" s="383"/>
      <c r="F86" s="382"/>
      <c r="G86" s="386"/>
    </row>
    <row r="87" spans="2:7" ht="22.5">
      <c r="B87" s="374"/>
      <c r="C87" s="381"/>
      <c r="D87" s="374"/>
      <c r="E87" s="383"/>
      <c r="F87" s="382"/>
      <c r="G87" s="386"/>
    </row>
    <row r="88" spans="2:7" ht="22.5">
      <c r="B88" s="374"/>
      <c r="C88" s="381"/>
      <c r="D88" s="374"/>
      <c r="E88" s="383"/>
      <c r="F88" s="382"/>
      <c r="G88" s="386"/>
    </row>
    <row r="89" spans="2:7" ht="22.5">
      <c r="B89" s="388"/>
      <c r="C89" s="389"/>
      <c r="D89" s="390"/>
      <c r="E89" s="391"/>
      <c r="F89" s="392"/>
      <c r="G89" s="391"/>
    </row>
    <row r="90" spans="2:7" ht="22.5">
      <c r="B90" s="393" t="s">
        <v>331</v>
      </c>
      <c r="C90" s="394"/>
      <c r="D90" s="395"/>
      <c r="E90" s="383"/>
      <c r="F90" s="396"/>
      <c r="G90" s="386"/>
    </row>
    <row r="91" spans="2:7" ht="22.5">
      <c r="B91" s="692" t="s">
        <v>16</v>
      </c>
      <c r="C91" s="693"/>
      <c r="D91" s="693"/>
      <c r="E91" s="693"/>
      <c r="F91" s="693"/>
      <c r="G91" s="694"/>
    </row>
    <row r="92" spans="2:7" ht="22.5">
      <c r="B92" s="397" t="s">
        <v>21</v>
      </c>
      <c r="C92" s="394"/>
      <c r="D92" s="395"/>
      <c r="E92" s="383"/>
      <c r="F92" s="396"/>
      <c r="G92" s="386"/>
    </row>
    <row r="93" spans="2:7" ht="22.5">
      <c r="B93" s="397"/>
      <c r="C93" s="394"/>
      <c r="D93" s="395"/>
      <c r="E93" s="383"/>
      <c r="F93" s="396"/>
      <c r="G93" s="386"/>
    </row>
    <row r="94" spans="2:7" ht="22.5">
      <c r="B94" s="397"/>
      <c r="C94" s="394"/>
      <c r="D94" s="395"/>
      <c r="E94" s="383"/>
      <c r="F94" s="396"/>
      <c r="G94" s="386"/>
    </row>
    <row r="95" spans="2:7" ht="22.5">
      <c r="B95" s="397"/>
      <c r="C95" s="394"/>
      <c r="D95" s="395"/>
      <c r="E95" s="383"/>
      <c r="F95" s="396"/>
      <c r="G95" s="386"/>
    </row>
    <row r="96" spans="2:7" ht="22.5">
      <c r="B96" s="397" t="s">
        <v>328</v>
      </c>
      <c r="C96" s="395"/>
      <c r="D96" s="395"/>
      <c r="E96" s="383"/>
      <c r="F96" s="395"/>
      <c r="G96" s="379"/>
    </row>
    <row r="97" spans="2:7" ht="22.5">
      <c r="B97" s="397"/>
      <c r="C97" s="395"/>
      <c r="D97" s="395"/>
      <c r="E97" s="383"/>
      <c r="F97" s="395"/>
      <c r="G97" s="379"/>
    </row>
    <row r="98" spans="2:7" ht="22.5">
      <c r="B98" s="397"/>
      <c r="C98" s="395"/>
      <c r="D98" s="395"/>
      <c r="E98" s="383"/>
      <c r="F98" s="395"/>
      <c r="G98" s="379"/>
    </row>
    <row r="99" spans="2:7" ht="22.5">
      <c r="B99" s="397"/>
      <c r="C99" s="395"/>
      <c r="D99" s="395"/>
      <c r="E99" s="383"/>
      <c r="F99" s="395"/>
      <c r="G99" s="379"/>
    </row>
    <row r="100" spans="2:7" ht="22.5">
      <c r="B100" s="397"/>
      <c r="C100" s="395"/>
      <c r="D100" s="395"/>
      <c r="E100" s="383"/>
      <c r="F100" s="395"/>
      <c r="G100" s="379"/>
    </row>
    <row r="101" spans="2:7" ht="22.5">
      <c r="B101" s="397"/>
      <c r="C101" s="395"/>
      <c r="D101" s="395"/>
      <c r="E101" s="383"/>
      <c r="F101" s="395"/>
      <c r="G101" s="379"/>
    </row>
    <row r="102" spans="2:7" ht="22.5">
      <c r="B102" s="388"/>
      <c r="C102" s="401"/>
      <c r="D102" s="401"/>
      <c r="E102" s="401"/>
      <c r="F102" s="401"/>
      <c r="G102" s="402"/>
    </row>
    <row r="107" spans="2:7" ht="22.5">
      <c r="B107" s="695" t="s">
        <v>17</v>
      </c>
      <c r="C107" s="695"/>
      <c r="D107" s="695"/>
      <c r="E107" s="695"/>
      <c r="F107" s="695"/>
      <c r="G107" s="695"/>
    </row>
    <row r="108" spans="2:7" ht="22.5">
      <c r="B108" s="695" t="s">
        <v>22</v>
      </c>
      <c r="C108" s="695"/>
      <c r="D108" s="695"/>
      <c r="E108" s="695"/>
      <c r="F108" s="695"/>
      <c r="G108" s="695"/>
    </row>
    <row r="109" spans="2:7" ht="22.5">
      <c r="B109" s="696" t="s">
        <v>330</v>
      </c>
      <c r="C109" s="696"/>
      <c r="D109" s="696"/>
      <c r="E109" s="696"/>
      <c r="F109" s="696"/>
      <c r="G109" s="696"/>
    </row>
    <row r="110" spans="2:7" ht="22.5">
      <c r="B110" s="371" t="s">
        <v>322</v>
      </c>
      <c r="C110" s="371"/>
      <c r="D110" s="371"/>
      <c r="E110" s="371"/>
      <c r="F110" s="371"/>
      <c r="G110" s="371"/>
    </row>
    <row r="111" spans="2:7" ht="22.5">
      <c r="B111" s="372" t="s">
        <v>35</v>
      </c>
      <c r="C111" s="373" t="s">
        <v>34</v>
      </c>
      <c r="D111" s="697" t="s">
        <v>323</v>
      </c>
      <c r="E111" s="698"/>
      <c r="F111" s="699" t="s">
        <v>37</v>
      </c>
      <c r="G111" s="698"/>
    </row>
    <row r="112" spans="2:7" ht="22.5">
      <c r="B112" s="378" t="s">
        <v>14</v>
      </c>
      <c r="C112" s="375"/>
      <c r="D112" s="404">
        <v>3113833.38</v>
      </c>
      <c r="E112" s="410">
        <v>94</v>
      </c>
      <c r="F112" s="378"/>
      <c r="G112" s="379"/>
    </row>
    <row r="113" spans="2:7" ht="22.5">
      <c r="B113" s="374" t="s">
        <v>15</v>
      </c>
      <c r="C113" s="381"/>
      <c r="D113" s="382"/>
      <c r="E113" s="383"/>
      <c r="F113" s="382">
        <f>D112</f>
        <v>3113833.38</v>
      </c>
      <c r="G113" s="411">
        <f>E112</f>
        <v>94</v>
      </c>
    </row>
    <row r="114" spans="2:7" ht="22.5">
      <c r="B114" s="374"/>
      <c r="C114" s="381"/>
      <c r="D114" s="382"/>
      <c r="E114" s="383"/>
      <c r="F114" s="385"/>
      <c r="G114" s="386"/>
    </row>
    <row r="115" spans="2:7" ht="22.5">
      <c r="B115" s="374"/>
      <c r="C115" s="381"/>
      <c r="D115" s="385"/>
      <c r="E115" s="383"/>
      <c r="F115" s="385"/>
      <c r="G115" s="386"/>
    </row>
    <row r="116" spans="2:7" ht="22.5">
      <c r="B116" s="374"/>
      <c r="C116" s="381"/>
      <c r="D116" s="385"/>
      <c r="E116" s="383"/>
      <c r="F116" s="385"/>
      <c r="G116" s="386"/>
    </row>
    <row r="117" spans="2:7" ht="22.5">
      <c r="B117" s="374"/>
      <c r="C117" s="381"/>
      <c r="D117" s="385"/>
      <c r="E117" s="383"/>
      <c r="F117" s="385"/>
      <c r="G117" s="386"/>
    </row>
    <row r="118" spans="2:7" ht="22.5">
      <c r="B118" s="374"/>
      <c r="C118" s="381"/>
      <c r="D118" s="382"/>
      <c r="E118" s="383"/>
      <c r="F118" s="385"/>
      <c r="G118" s="386"/>
    </row>
    <row r="119" spans="2:7" ht="22.5">
      <c r="B119" s="374"/>
      <c r="C119" s="381"/>
      <c r="D119" s="382"/>
      <c r="E119" s="383"/>
      <c r="F119" s="385"/>
      <c r="G119" s="386"/>
    </row>
    <row r="120" spans="2:7" ht="22.5">
      <c r="B120" s="374"/>
      <c r="C120" s="381"/>
      <c r="D120" s="382"/>
      <c r="E120" s="383"/>
      <c r="F120" s="382"/>
      <c r="G120" s="386"/>
    </row>
    <row r="121" spans="2:7" ht="22.5">
      <c r="B121" s="374"/>
      <c r="C121" s="381"/>
      <c r="D121" s="382"/>
      <c r="E121" s="383"/>
      <c r="F121" s="382"/>
      <c r="G121" s="386"/>
    </row>
    <row r="122" spans="2:7" ht="22.5">
      <c r="B122" s="374"/>
      <c r="C122" s="381"/>
      <c r="D122" s="382"/>
      <c r="E122" s="383"/>
      <c r="F122" s="382"/>
      <c r="G122" s="386"/>
    </row>
    <row r="123" spans="2:7" ht="22.5">
      <c r="B123" s="374"/>
      <c r="C123" s="381"/>
      <c r="D123" s="374"/>
      <c r="E123" s="383"/>
      <c r="F123" s="382"/>
      <c r="G123" s="386"/>
    </row>
    <row r="124" spans="2:7" ht="22.5">
      <c r="B124" s="374"/>
      <c r="C124" s="381"/>
      <c r="D124" s="374"/>
      <c r="E124" s="383"/>
      <c r="F124" s="382"/>
      <c r="G124" s="386"/>
    </row>
    <row r="125" spans="2:7" ht="22.5">
      <c r="B125" s="388"/>
      <c r="C125" s="389"/>
      <c r="D125" s="390"/>
      <c r="E125" s="391"/>
      <c r="F125" s="392"/>
      <c r="G125" s="391"/>
    </row>
    <row r="126" spans="2:7" ht="22.5">
      <c r="B126" s="393" t="s">
        <v>331</v>
      </c>
      <c r="C126" s="394"/>
      <c r="D126" s="395"/>
      <c r="E126" s="383"/>
      <c r="F126" s="396"/>
      <c r="G126" s="386"/>
    </row>
    <row r="127" spans="2:7" ht="22.5">
      <c r="B127" s="692" t="s">
        <v>16</v>
      </c>
      <c r="C127" s="693"/>
      <c r="D127" s="693"/>
      <c r="E127" s="693"/>
      <c r="F127" s="693"/>
      <c r="G127" s="694"/>
    </row>
    <row r="128" spans="2:7" ht="22.5">
      <c r="B128" s="397" t="s">
        <v>23</v>
      </c>
      <c r="C128" s="394"/>
      <c r="D128" s="395"/>
      <c r="E128" s="383"/>
      <c r="F128" s="396"/>
      <c r="G128" s="386"/>
    </row>
    <row r="129" spans="2:7" ht="22.5">
      <c r="B129" s="397"/>
      <c r="C129" s="394"/>
      <c r="D129" s="395"/>
      <c r="E129" s="383"/>
      <c r="F129" s="396"/>
      <c r="G129" s="386"/>
    </row>
    <row r="130" spans="2:7" ht="22.5">
      <c r="B130" s="397"/>
      <c r="C130" s="394"/>
      <c r="D130" s="395"/>
      <c r="E130" s="383"/>
      <c r="F130" s="396"/>
      <c r="G130" s="386"/>
    </row>
    <row r="131" spans="2:7" ht="22.5">
      <c r="B131" s="397"/>
      <c r="C131" s="394"/>
      <c r="D131" s="395"/>
      <c r="E131" s="383"/>
      <c r="F131" s="396"/>
      <c r="G131" s="386"/>
    </row>
    <row r="132" spans="2:7" ht="22.5">
      <c r="B132" s="397" t="s">
        <v>328</v>
      </c>
      <c r="C132" s="395"/>
      <c r="D132" s="395"/>
      <c r="E132" s="383"/>
      <c r="F132" s="395"/>
      <c r="G132" s="379"/>
    </row>
    <row r="133" spans="2:7" ht="22.5">
      <c r="B133" s="397"/>
      <c r="C133" s="395"/>
      <c r="D133" s="395"/>
      <c r="E133" s="383"/>
      <c r="F133" s="395"/>
      <c r="G133" s="379"/>
    </row>
    <row r="134" spans="2:7" ht="22.5">
      <c r="B134" s="397"/>
      <c r="C134" s="395"/>
      <c r="D134" s="395"/>
      <c r="E134" s="383"/>
      <c r="F134" s="395"/>
      <c r="G134" s="379"/>
    </row>
    <row r="135" spans="2:7" ht="22.5">
      <c r="B135" s="397"/>
      <c r="C135" s="395"/>
      <c r="D135" s="395"/>
      <c r="E135" s="383"/>
      <c r="F135" s="395"/>
      <c r="G135" s="379"/>
    </row>
    <row r="136" spans="2:7" ht="22.5">
      <c r="B136" s="397"/>
      <c r="C136" s="395"/>
      <c r="D136" s="395"/>
      <c r="E136" s="383"/>
      <c r="F136" s="395"/>
      <c r="G136" s="379"/>
    </row>
    <row r="137" spans="2:7" ht="22.5">
      <c r="B137" s="397"/>
      <c r="C137" s="395"/>
      <c r="D137" s="395"/>
      <c r="E137" s="383"/>
      <c r="F137" s="395"/>
      <c r="G137" s="379"/>
    </row>
    <row r="138" spans="2:7" ht="22.5">
      <c r="B138" s="388"/>
      <c r="C138" s="401"/>
      <c r="D138" s="401"/>
      <c r="E138" s="401"/>
      <c r="F138" s="401"/>
      <c r="G138" s="402"/>
    </row>
    <row r="141" spans="2:7" ht="22.5">
      <c r="B141" s="695" t="s">
        <v>7</v>
      </c>
      <c r="C141" s="695"/>
      <c r="D141" s="695"/>
      <c r="E141" s="695"/>
      <c r="F141" s="695"/>
      <c r="G141" s="695"/>
    </row>
    <row r="142" spans="2:7" ht="22.5">
      <c r="B142" s="695" t="s">
        <v>24</v>
      </c>
      <c r="C142" s="695"/>
      <c r="D142" s="695"/>
      <c r="E142" s="695"/>
      <c r="F142" s="695"/>
      <c r="G142" s="695"/>
    </row>
    <row r="143" spans="2:7" ht="22.5">
      <c r="B143" s="696" t="s">
        <v>330</v>
      </c>
      <c r="C143" s="696"/>
      <c r="D143" s="696"/>
      <c r="E143" s="696"/>
      <c r="F143" s="696"/>
      <c r="G143" s="696"/>
    </row>
    <row r="144" spans="2:7" ht="22.5">
      <c r="B144" s="371" t="s">
        <v>322</v>
      </c>
      <c r="C144" s="371"/>
      <c r="D144" s="371"/>
      <c r="E144" s="371"/>
      <c r="F144" s="371"/>
      <c r="G144" s="371"/>
    </row>
    <row r="145" spans="2:7" ht="22.5">
      <c r="B145" s="372" t="s">
        <v>35</v>
      </c>
      <c r="C145" s="373" t="s">
        <v>34</v>
      </c>
      <c r="D145" s="697" t="s">
        <v>323</v>
      </c>
      <c r="E145" s="698"/>
      <c r="F145" s="699" t="s">
        <v>37</v>
      </c>
      <c r="G145" s="698"/>
    </row>
    <row r="146" spans="2:7" ht="22.5">
      <c r="B146" s="378" t="s">
        <v>14</v>
      </c>
      <c r="C146" s="375"/>
      <c r="D146" s="404">
        <v>4507345</v>
      </c>
      <c r="E146" s="410">
        <v>94</v>
      </c>
      <c r="F146" s="378"/>
      <c r="G146" s="379"/>
    </row>
    <row r="147" spans="2:7" ht="22.5">
      <c r="B147" s="374" t="s">
        <v>15</v>
      </c>
      <c r="C147" s="381"/>
      <c r="D147" s="382"/>
      <c r="E147" s="383"/>
      <c r="F147" s="382">
        <f>D146</f>
        <v>4507345</v>
      </c>
      <c r="G147" s="411">
        <f>E146</f>
        <v>94</v>
      </c>
    </row>
    <row r="148" spans="2:7" ht="22.5">
      <c r="B148" s="374"/>
      <c r="C148" s="381"/>
      <c r="D148" s="382"/>
      <c r="E148" s="383"/>
      <c r="F148" s="385"/>
      <c r="G148" s="386"/>
    </row>
    <row r="149" spans="2:7" ht="22.5">
      <c r="B149" s="374"/>
      <c r="C149" s="381"/>
      <c r="D149" s="385"/>
      <c r="E149" s="383"/>
      <c r="F149" s="385"/>
      <c r="G149" s="386"/>
    </row>
    <row r="150" spans="2:7" ht="22.5">
      <c r="B150" s="374"/>
      <c r="C150" s="381"/>
      <c r="D150" s="385"/>
      <c r="E150" s="383"/>
      <c r="F150" s="385"/>
      <c r="G150" s="386"/>
    </row>
    <row r="151" spans="2:7" ht="22.5">
      <c r="B151" s="374"/>
      <c r="C151" s="381"/>
      <c r="D151" s="385"/>
      <c r="E151" s="383"/>
      <c r="F151" s="385"/>
      <c r="G151" s="386"/>
    </row>
    <row r="152" spans="2:7" ht="22.5">
      <c r="B152" s="374"/>
      <c r="C152" s="381"/>
      <c r="D152" s="382"/>
      <c r="E152" s="383"/>
      <c r="F152" s="385"/>
      <c r="G152" s="386"/>
    </row>
    <row r="153" spans="2:7" ht="22.5">
      <c r="B153" s="374"/>
      <c r="C153" s="381"/>
      <c r="D153" s="382"/>
      <c r="E153" s="383"/>
      <c r="F153" s="385"/>
      <c r="G153" s="386"/>
    </row>
    <row r="154" spans="2:7" ht="22.5">
      <c r="B154" s="374"/>
      <c r="C154" s="381"/>
      <c r="D154" s="382"/>
      <c r="E154" s="383"/>
      <c r="F154" s="382"/>
      <c r="G154" s="386"/>
    </row>
    <row r="155" spans="2:7" ht="22.5">
      <c r="B155" s="374"/>
      <c r="C155" s="381"/>
      <c r="D155" s="382"/>
      <c r="E155" s="383"/>
      <c r="F155" s="382"/>
      <c r="G155" s="386"/>
    </row>
    <row r="156" spans="2:7" ht="22.5">
      <c r="B156" s="374"/>
      <c r="C156" s="381"/>
      <c r="D156" s="382"/>
      <c r="E156" s="383"/>
      <c r="F156" s="382"/>
      <c r="G156" s="386"/>
    </row>
    <row r="157" spans="2:7" ht="22.5">
      <c r="B157" s="374"/>
      <c r="C157" s="381"/>
      <c r="D157" s="374"/>
      <c r="E157" s="383"/>
      <c r="F157" s="382"/>
      <c r="G157" s="386"/>
    </row>
    <row r="158" spans="2:7" ht="22.5">
      <c r="B158" s="374"/>
      <c r="C158" s="381"/>
      <c r="D158" s="374"/>
      <c r="E158" s="383"/>
      <c r="F158" s="382"/>
      <c r="G158" s="386"/>
    </row>
    <row r="159" spans="2:7" ht="22.5">
      <c r="B159" s="388"/>
      <c r="C159" s="389"/>
      <c r="D159" s="390"/>
      <c r="E159" s="391"/>
      <c r="F159" s="392"/>
      <c r="G159" s="391"/>
    </row>
    <row r="160" spans="2:7" ht="22.5">
      <c r="B160" s="393" t="s">
        <v>331</v>
      </c>
      <c r="C160" s="394"/>
      <c r="D160" s="395"/>
      <c r="E160" s="383"/>
      <c r="F160" s="396"/>
      <c r="G160" s="386"/>
    </row>
    <row r="161" spans="2:7" ht="22.5">
      <c r="B161" s="692" t="s">
        <v>16</v>
      </c>
      <c r="C161" s="693"/>
      <c r="D161" s="693"/>
      <c r="E161" s="693"/>
      <c r="F161" s="693"/>
      <c r="G161" s="694"/>
    </row>
    <row r="162" spans="2:7" ht="22.5">
      <c r="B162" s="397" t="s">
        <v>344</v>
      </c>
      <c r="C162" s="394"/>
      <c r="D162" s="395"/>
      <c r="E162" s="383"/>
      <c r="F162" s="396"/>
      <c r="G162" s="386"/>
    </row>
    <row r="163" spans="2:7" ht="22.5">
      <c r="B163" s="397"/>
      <c r="C163" s="394"/>
      <c r="D163" s="395"/>
      <c r="E163" s="383"/>
      <c r="F163" s="396"/>
      <c r="G163" s="386"/>
    </row>
    <row r="164" spans="2:7" ht="22.5">
      <c r="B164" s="397"/>
      <c r="C164" s="394"/>
      <c r="D164" s="395"/>
      <c r="E164" s="383"/>
      <c r="F164" s="396"/>
      <c r="G164" s="386"/>
    </row>
    <row r="165" spans="2:7" ht="22.5">
      <c r="B165" s="397"/>
      <c r="C165" s="394"/>
      <c r="D165" s="395"/>
      <c r="E165" s="383"/>
      <c r="F165" s="396"/>
      <c r="G165" s="386"/>
    </row>
    <row r="166" spans="2:7" ht="22.5">
      <c r="B166" s="397" t="s">
        <v>328</v>
      </c>
      <c r="C166" s="395"/>
      <c r="D166" s="395"/>
      <c r="E166" s="383"/>
      <c r="F166" s="395"/>
      <c r="G166" s="379"/>
    </row>
    <row r="167" spans="2:7" ht="22.5">
      <c r="B167" s="397"/>
      <c r="C167" s="395"/>
      <c r="D167" s="395"/>
      <c r="E167" s="383"/>
      <c r="F167" s="395"/>
      <c r="G167" s="379"/>
    </row>
    <row r="168" spans="2:7" ht="22.5">
      <c r="B168" s="397"/>
      <c r="C168" s="395"/>
      <c r="D168" s="395"/>
      <c r="E168" s="383"/>
      <c r="F168" s="395"/>
      <c r="G168" s="379"/>
    </row>
    <row r="169" spans="2:7" ht="22.5">
      <c r="B169" s="397"/>
      <c r="C169" s="395"/>
      <c r="D169" s="395"/>
      <c r="E169" s="383"/>
      <c r="F169" s="395"/>
      <c r="G169" s="379"/>
    </row>
    <row r="170" spans="2:7" ht="22.5">
      <c r="B170" s="397"/>
      <c r="C170" s="395"/>
      <c r="D170" s="395"/>
      <c r="E170" s="383"/>
      <c r="F170" s="395"/>
      <c r="G170" s="379"/>
    </row>
    <row r="171" spans="2:7" ht="22.5">
      <c r="B171" s="397"/>
      <c r="C171" s="395"/>
      <c r="D171" s="395"/>
      <c r="E171" s="383"/>
      <c r="F171" s="395"/>
      <c r="G171" s="379"/>
    </row>
    <row r="172" spans="2:7" ht="22.5">
      <c r="B172" s="388"/>
      <c r="C172" s="401"/>
      <c r="D172" s="401"/>
      <c r="E172" s="401"/>
      <c r="F172" s="401"/>
      <c r="G172" s="402"/>
    </row>
    <row r="177" spans="2:7" ht="22.5">
      <c r="B177" s="695" t="s">
        <v>7</v>
      </c>
      <c r="C177" s="695"/>
      <c r="D177" s="695"/>
      <c r="E177" s="695"/>
      <c r="F177" s="695"/>
      <c r="G177" s="695"/>
    </row>
    <row r="178" spans="2:7" ht="22.5">
      <c r="B178" s="695" t="s">
        <v>25</v>
      </c>
      <c r="C178" s="695"/>
      <c r="D178" s="695"/>
      <c r="E178" s="695"/>
      <c r="F178" s="695"/>
      <c r="G178" s="695"/>
    </row>
    <row r="179" spans="2:7" ht="22.5">
      <c r="B179" s="696" t="s">
        <v>330</v>
      </c>
      <c r="C179" s="696"/>
      <c r="D179" s="696"/>
      <c r="E179" s="696"/>
      <c r="F179" s="696"/>
      <c r="G179" s="696"/>
    </row>
    <row r="180" spans="2:7" ht="22.5">
      <c r="B180" s="371" t="s">
        <v>322</v>
      </c>
      <c r="C180" s="371"/>
      <c r="D180" s="371"/>
      <c r="E180" s="371"/>
      <c r="F180" s="371"/>
      <c r="G180" s="371"/>
    </row>
    <row r="181" spans="2:7" ht="22.5">
      <c r="B181" s="372" t="s">
        <v>35</v>
      </c>
      <c r="C181" s="373" t="s">
        <v>34</v>
      </c>
      <c r="D181" s="697" t="s">
        <v>323</v>
      </c>
      <c r="E181" s="698"/>
      <c r="F181" s="699" t="s">
        <v>37</v>
      </c>
      <c r="G181" s="698"/>
    </row>
    <row r="182" spans="2:7" ht="22.5">
      <c r="B182" s="378" t="s">
        <v>14</v>
      </c>
      <c r="C182" s="375"/>
      <c r="D182" s="404">
        <v>3113833</v>
      </c>
      <c r="E182" s="410">
        <v>38</v>
      </c>
      <c r="F182" s="378"/>
      <c r="G182" s="379"/>
    </row>
    <row r="183" spans="2:7" ht="22.5">
      <c r="B183" s="374" t="s">
        <v>15</v>
      </c>
      <c r="C183" s="381"/>
      <c r="D183" s="382"/>
      <c r="E183" s="383"/>
      <c r="F183" s="382">
        <f>D182</f>
        <v>3113833</v>
      </c>
      <c r="G183" s="411">
        <f>E182</f>
        <v>38</v>
      </c>
    </row>
    <row r="184" spans="2:7" ht="22.5">
      <c r="B184" s="374"/>
      <c r="C184" s="381"/>
      <c r="D184" s="382"/>
      <c r="E184" s="383"/>
      <c r="F184" s="385"/>
      <c r="G184" s="386"/>
    </row>
    <row r="185" spans="2:7" ht="22.5">
      <c r="B185" s="374"/>
      <c r="C185" s="381"/>
      <c r="D185" s="385"/>
      <c r="E185" s="383"/>
      <c r="F185" s="385"/>
      <c r="G185" s="386"/>
    </row>
    <row r="186" spans="2:7" ht="22.5">
      <c r="B186" s="374"/>
      <c r="C186" s="381"/>
      <c r="D186" s="385"/>
      <c r="E186" s="383"/>
      <c r="F186" s="385"/>
      <c r="G186" s="386"/>
    </row>
    <row r="187" spans="2:7" ht="22.5">
      <c r="B187" s="374"/>
      <c r="C187" s="381"/>
      <c r="D187" s="385"/>
      <c r="E187" s="383"/>
      <c r="F187" s="385"/>
      <c r="G187" s="386"/>
    </row>
    <row r="188" spans="2:7" ht="22.5">
      <c r="B188" s="374"/>
      <c r="C188" s="381"/>
      <c r="D188" s="382"/>
      <c r="E188" s="383"/>
      <c r="F188" s="385"/>
      <c r="G188" s="386"/>
    </row>
    <row r="189" spans="2:7" ht="22.5">
      <c r="B189" s="374"/>
      <c r="C189" s="381"/>
      <c r="D189" s="382"/>
      <c r="E189" s="383"/>
      <c r="F189" s="385"/>
      <c r="G189" s="386"/>
    </row>
    <row r="190" spans="2:7" ht="22.5">
      <c r="B190" s="374"/>
      <c r="C190" s="381"/>
      <c r="D190" s="382"/>
      <c r="E190" s="383"/>
      <c r="F190" s="382"/>
      <c r="G190" s="386"/>
    </row>
    <row r="191" spans="2:7" ht="22.5">
      <c r="B191" s="374"/>
      <c r="C191" s="381"/>
      <c r="D191" s="382"/>
      <c r="E191" s="383"/>
      <c r="F191" s="382"/>
      <c r="G191" s="386"/>
    </row>
    <row r="192" spans="2:7" ht="22.5">
      <c r="B192" s="374"/>
      <c r="C192" s="381"/>
      <c r="D192" s="382"/>
      <c r="E192" s="383"/>
      <c r="F192" s="382"/>
      <c r="G192" s="386"/>
    </row>
    <row r="193" spans="2:7" ht="22.5">
      <c r="B193" s="374"/>
      <c r="C193" s="381"/>
      <c r="D193" s="374"/>
      <c r="E193" s="383"/>
      <c r="F193" s="382"/>
      <c r="G193" s="386"/>
    </row>
    <row r="194" spans="2:7" ht="22.5">
      <c r="B194" s="374"/>
      <c r="C194" s="381"/>
      <c r="D194" s="374"/>
      <c r="E194" s="383"/>
      <c r="F194" s="382"/>
      <c r="G194" s="386"/>
    </row>
    <row r="195" spans="2:7" ht="22.5">
      <c r="B195" s="388"/>
      <c r="C195" s="389"/>
      <c r="D195" s="390"/>
      <c r="E195" s="391"/>
      <c r="F195" s="392"/>
      <c r="G195" s="391"/>
    </row>
    <row r="196" spans="2:7" ht="22.5">
      <c r="B196" s="393" t="s">
        <v>331</v>
      </c>
      <c r="C196" s="394"/>
      <c r="D196" s="395"/>
      <c r="E196" s="383"/>
      <c r="F196" s="396"/>
      <c r="G196" s="386"/>
    </row>
    <row r="197" spans="2:7" ht="22.5">
      <c r="B197" s="692" t="s">
        <v>16</v>
      </c>
      <c r="C197" s="693"/>
      <c r="D197" s="693"/>
      <c r="E197" s="693"/>
      <c r="F197" s="693"/>
      <c r="G197" s="694"/>
    </row>
    <row r="198" spans="2:7" ht="22.5">
      <c r="B198" s="397" t="s">
        <v>26</v>
      </c>
      <c r="C198" s="394"/>
      <c r="D198" s="395"/>
      <c r="E198" s="383"/>
      <c r="F198" s="396"/>
      <c r="G198" s="386"/>
    </row>
    <row r="199" spans="2:7" ht="22.5">
      <c r="B199" s="397"/>
      <c r="C199" s="394"/>
      <c r="D199" s="395"/>
      <c r="E199" s="383"/>
      <c r="F199" s="396"/>
      <c r="G199" s="386"/>
    </row>
    <row r="200" spans="2:7" ht="22.5">
      <c r="B200" s="397"/>
      <c r="C200" s="394"/>
      <c r="D200" s="395"/>
      <c r="E200" s="383"/>
      <c r="F200" s="396"/>
      <c r="G200" s="386"/>
    </row>
    <row r="201" spans="2:7" ht="22.5">
      <c r="B201" s="397"/>
      <c r="C201" s="394"/>
      <c r="D201" s="395"/>
      <c r="E201" s="383"/>
      <c r="F201" s="396"/>
      <c r="G201" s="386"/>
    </row>
    <row r="202" spans="2:7" ht="22.5">
      <c r="B202" s="397" t="s">
        <v>328</v>
      </c>
      <c r="C202" s="395"/>
      <c r="D202" s="395"/>
      <c r="E202" s="383"/>
      <c r="F202" s="395"/>
      <c r="G202" s="379"/>
    </row>
    <row r="203" spans="2:7" ht="22.5">
      <c r="B203" s="397"/>
      <c r="C203" s="395"/>
      <c r="D203" s="395"/>
      <c r="E203" s="383"/>
      <c r="F203" s="395"/>
      <c r="G203" s="379"/>
    </row>
    <row r="204" spans="2:7" ht="22.5">
      <c r="B204" s="397"/>
      <c r="C204" s="395"/>
      <c r="D204" s="395"/>
      <c r="E204" s="383"/>
      <c r="F204" s="395"/>
      <c r="G204" s="379"/>
    </row>
    <row r="205" spans="2:7" ht="22.5">
      <c r="B205" s="397"/>
      <c r="C205" s="395"/>
      <c r="D205" s="395"/>
      <c r="E205" s="383"/>
      <c r="F205" s="395"/>
      <c r="G205" s="379"/>
    </row>
    <row r="206" spans="2:7" ht="22.5">
      <c r="B206" s="397"/>
      <c r="C206" s="395"/>
      <c r="D206" s="395"/>
      <c r="E206" s="383"/>
      <c r="F206" s="395"/>
      <c r="G206" s="379"/>
    </row>
    <row r="207" spans="2:7" ht="22.5">
      <c r="B207" s="397"/>
      <c r="C207" s="395"/>
      <c r="D207" s="395"/>
      <c r="E207" s="383"/>
      <c r="F207" s="395"/>
      <c r="G207" s="379"/>
    </row>
    <row r="208" spans="2:7" ht="22.5">
      <c r="B208" s="388"/>
      <c r="C208" s="401"/>
      <c r="D208" s="401"/>
      <c r="E208" s="401"/>
      <c r="F208" s="401"/>
      <c r="G208" s="402"/>
    </row>
    <row r="214" spans="2:7" ht="22.5">
      <c r="B214" s="695" t="s">
        <v>27</v>
      </c>
      <c r="C214" s="695"/>
      <c r="D214" s="695"/>
      <c r="E214" s="695"/>
      <c r="F214" s="695"/>
      <c r="G214" s="695"/>
    </row>
    <row r="215" spans="2:7" ht="22.5">
      <c r="B215" s="695" t="s">
        <v>28</v>
      </c>
      <c r="C215" s="695"/>
      <c r="D215" s="695"/>
      <c r="E215" s="695"/>
      <c r="F215" s="695"/>
      <c r="G215" s="695"/>
    </row>
    <row r="216" spans="2:7" ht="22.5">
      <c r="B216" s="696" t="s">
        <v>330</v>
      </c>
      <c r="C216" s="696"/>
      <c r="D216" s="696"/>
      <c r="E216" s="696"/>
      <c r="F216" s="696"/>
      <c r="G216" s="696"/>
    </row>
    <row r="217" spans="2:7" ht="22.5">
      <c r="B217" s="371" t="s">
        <v>322</v>
      </c>
      <c r="C217" s="371"/>
      <c r="D217" s="371"/>
      <c r="E217" s="371"/>
      <c r="F217" s="371"/>
      <c r="G217" s="371"/>
    </row>
    <row r="218" spans="2:7" ht="22.5">
      <c r="B218" s="372" t="s">
        <v>35</v>
      </c>
      <c r="C218" s="373" t="s">
        <v>34</v>
      </c>
      <c r="D218" s="697" t="s">
        <v>323</v>
      </c>
      <c r="E218" s="698"/>
      <c r="F218" s="699" t="s">
        <v>37</v>
      </c>
      <c r="G218" s="698"/>
    </row>
    <row r="219" spans="2:7" ht="22.5">
      <c r="B219" s="378" t="s">
        <v>14</v>
      </c>
      <c r="C219" s="375"/>
      <c r="D219" s="404">
        <v>2821779</v>
      </c>
      <c r="E219" s="410">
        <v>38</v>
      </c>
      <c r="F219" s="378"/>
      <c r="G219" s="379"/>
    </row>
    <row r="220" spans="2:7" ht="22.5">
      <c r="B220" s="374" t="s">
        <v>15</v>
      </c>
      <c r="C220" s="381"/>
      <c r="D220" s="382"/>
      <c r="E220" s="383"/>
      <c r="F220" s="382">
        <f>D219</f>
        <v>2821779</v>
      </c>
      <c r="G220" s="411">
        <f>E219</f>
        <v>38</v>
      </c>
    </row>
    <row r="221" spans="2:7" ht="22.5">
      <c r="B221" s="374"/>
      <c r="C221" s="381"/>
      <c r="D221" s="382"/>
      <c r="E221" s="383"/>
      <c r="F221" s="385"/>
      <c r="G221" s="386"/>
    </row>
    <row r="222" spans="2:7" ht="22.5">
      <c r="B222" s="374"/>
      <c r="C222" s="381"/>
      <c r="D222" s="385"/>
      <c r="E222" s="383"/>
      <c r="F222" s="385"/>
      <c r="G222" s="386"/>
    </row>
    <row r="223" spans="2:7" ht="22.5">
      <c r="B223" s="374"/>
      <c r="C223" s="381"/>
      <c r="D223" s="385"/>
      <c r="E223" s="383"/>
      <c r="F223" s="385"/>
      <c r="G223" s="386"/>
    </row>
    <row r="224" spans="2:7" ht="22.5">
      <c r="B224" s="374"/>
      <c r="C224" s="381"/>
      <c r="D224" s="385"/>
      <c r="E224" s="383"/>
      <c r="F224" s="385"/>
      <c r="G224" s="386"/>
    </row>
    <row r="225" spans="2:7" ht="22.5">
      <c r="B225" s="374"/>
      <c r="C225" s="381"/>
      <c r="D225" s="382"/>
      <c r="E225" s="383"/>
      <c r="F225" s="385"/>
      <c r="G225" s="386"/>
    </row>
    <row r="226" spans="2:7" ht="22.5">
      <c r="B226" s="374"/>
      <c r="C226" s="381"/>
      <c r="D226" s="382"/>
      <c r="E226" s="383"/>
      <c r="F226" s="385"/>
      <c r="G226" s="386"/>
    </row>
    <row r="227" spans="2:7" ht="22.5">
      <c r="B227" s="374"/>
      <c r="C227" s="381"/>
      <c r="D227" s="382"/>
      <c r="E227" s="383"/>
      <c r="F227" s="382"/>
      <c r="G227" s="386"/>
    </row>
    <row r="228" spans="2:7" ht="22.5">
      <c r="B228" s="374"/>
      <c r="C228" s="381"/>
      <c r="D228" s="382"/>
      <c r="E228" s="383"/>
      <c r="F228" s="382"/>
      <c r="G228" s="386"/>
    </row>
    <row r="229" spans="2:7" ht="22.5">
      <c r="B229" s="374"/>
      <c r="C229" s="381"/>
      <c r="D229" s="382"/>
      <c r="E229" s="383"/>
      <c r="F229" s="382"/>
      <c r="G229" s="386"/>
    </row>
    <row r="230" spans="2:7" ht="22.5">
      <c r="B230" s="374"/>
      <c r="C230" s="381"/>
      <c r="D230" s="374"/>
      <c r="E230" s="383"/>
      <c r="F230" s="382"/>
      <c r="G230" s="386"/>
    </row>
    <row r="231" spans="2:7" ht="22.5">
      <c r="B231" s="374"/>
      <c r="C231" s="381"/>
      <c r="D231" s="374"/>
      <c r="E231" s="383"/>
      <c r="F231" s="382"/>
      <c r="G231" s="386"/>
    </row>
    <row r="232" spans="2:7" ht="22.5">
      <c r="B232" s="388"/>
      <c r="C232" s="389"/>
      <c r="D232" s="390"/>
      <c r="E232" s="391"/>
      <c r="F232" s="392"/>
      <c r="G232" s="391"/>
    </row>
    <row r="233" spans="2:7" ht="22.5">
      <c r="B233" s="393" t="s">
        <v>331</v>
      </c>
      <c r="C233" s="394"/>
      <c r="D233" s="395"/>
      <c r="E233" s="383"/>
      <c r="F233" s="396"/>
      <c r="G233" s="386"/>
    </row>
    <row r="234" spans="2:7" ht="22.5">
      <c r="B234" s="692" t="s">
        <v>16</v>
      </c>
      <c r="C234" s="693"/>
      <c r="D234" s="693"/>
      <c r="E234" s="693"/>
      <c r="F234" s="693"/>
      <c r="G234" s="694"/>
    </row>
    <row r="235" spans="2:7" ht="22.5">
      <c r="B235" s="397" t="s">
        <v>29</v>
      </c>
      <c r="C235" s="394"/>
      <c r="D235" s="395"/>
      <c r="E235" s="383"/>
      <c r="F235" s="396"/>
      <c r="G235" s="386"/>
    </row>
    <row r="236" spans="2:7" ht="22.5">
      <c r="B236" s="397"/>
      <c r="C236" s="394"/>
      <c r="D236" s="395"/>
      <c r="E236" s="383"/>
      <c r="F236" s="396"/>
      <c r="G236" s="386"/>
    </row>
    <row r="237" spans="2:7" ht="22.5">
      <c r="B237" s="397"/>
      <c r="C237" s="394"/>
      <c r="D237" s="395"/>
      <c r="E237" s="383"/>
      <c r="F237" s="396"/>
      <c r="G237" s="386"/>
    </row>
    <row r="238" spans="2:7" ht="22.5">
      <c r="B238" s="397"/>
      <c r="C238" s="394"/>
      <c r="D238" s="395"/>
      <c r="E238" s="383"/>
      <c r="F238" s="396"/>
      <c r="G238" s="386"/>
    </row>
    <row r="239" spans="2:7" ht="22.5">
      <c r="B239" s="397" t="s">
        <v>328</v>
      </c>
      <c r="C239" s="395"/>
      <c r="D239" s="395"/>
      <c r="E239" s="383"/>
      <c r="F239" s="395"/>
      <c r="G239" s="379"/>
    </row>
    <row r="240" spans="2:7" ht="22.5">
      <c r="B240" s="397"/>
      <c r="C240" s="395"/>
      <c r="D240" s="395"/>
      <c r="E240" s="383"/>
      <c r="F240" s="395"/>
      <c r="G240" s="379"/>
    </row>
    <row r="241" spans="2:7" ht="22.5">
      <c r="B241" s="397"/>
      <c r="C241" s="395"/>
      <c r="D241" s="395"/>
      <c r="E241" s="383"/>
      <c r="F241" s="395"/>
      <c r="G241" s="379"/>
    </row>
    <row r="242" spans="2:7" ht="22.5">
      <c r="B242" s="397"/>
      <c r="C242" s="395"/>
      <c r="D242" s="395"/>
      <c r="E242" s="383"/>
      <c r="F242" s="395"/>
      <c r="G242" s="379"/>
    </row>
    <row r="243" spans="2:7" ht="22.5">
      <c r="B243" s="397"/>
      <c r="C243" s="395"/>
      <c r="D243" s="395"/>
      <c r="E243" s="383"/>
      <c r="F243" s="395"/>
      <c r="G243" s="379"/>
    </row>
    <row r="244" spans="2:7" ht="22.5">
      <c r="B244" s="397"/>
      <c r="C244" s="395"/>
      <c r="D244" s="395"/>
      <c r="E244" s="383"/>
      <c r="F244" s="395"/>
      <c r="G244" s="379"/>
    </row>
    <row r="245" spans="2:7" ht="22.5">
      <c r="B245" s="388"/>
      <c r="C245" s="401"/>
      <c r="D245" s="401"/>
      <c r="E245" s="401"/>
      <c r="F245" s="401"/>
      <c r="G245" s="402"/>
    </row>
    <row r="251" spans="2:7" ht="22.5">
      <c r="B251" s="695" t="s">
        <v>0</v>
      </c>
      <c r="C251" s="695"/>
      <c r="D251" s="695"/>
      <c r="E251" s="695"/>
      <c r="F251" s="695"/>
      <c r="G251" s="695"/>
    </row>
    <row r="252" spans="2:7" ht="22.5">
      <c r="B252" s="695" t="s">
        <v>30</v>
      </c>
      <c r="C252" s="695"/>
      <c r="D252" s="695"/>
      <c r="E252" s="695"/>
      <c r="F252" s="695"/>
      <c r="G252" s="695"/>
    </row>
    <row r="253" spans="2:7" ht="22.5">
      <c r="B253" s="696" t="s">
        <v>330</v>
      </c>
      <c r="C253" s="696"/>
      <c r="D253" s="696"/>
      <c r="E253" s="696"/>
      <c r="F253" s="696"/>
      <c r="G253" s="696"/>
    </row>
    <row r="254" spans="2:7" ht="22.5">
      <c r="B254" s="371" t="s">
        <v>322</v>
      </c>
      <c r="C254" s="371"/>
      <c r="D254" s="371"/>
      <c r="E254" s="371"/>
      <c r="F254" s="371"/>
      <c r="G254" s="371"/>
    </row>
    <row r="255" spans="2:7" ht="22.5">
      <c r="B255" s="372" t="s">
        <v>35</v>
      </c>
      <c r="C255" s="373" t="s">
        <v>34</v>
      </c>
      <c r="D255" s="697" t="s">
        <v>323</v>
      </c>
      <c r="E255" s="698"/>
      <c r="F255" s="699" t="s">
        <v>37</v>
      </c>
      <c r="G255" s="698"/>
    </row>
    <row r="256" spans="2:7" ht="22.5">
      <c r="B256" s="378" t="s">
        <v>14</v>
      </c>
      <c r="C256" s="375"/>
      <c r="D256" s="404">
        <v>2227302</v>
      </c>
      <c r="E256" s="394" t="s">
        <v>31</v>
      </c>
      <c r="F256" s="378"/>
      <c r="G256" s="379"/>
    </row>
    <row r="257" spans="2:7" ht="22.5">
      <c r="B257" s="374" t="s">
        <v>15</v>
      </c>
      <c r="C257" s="381"/>
      <c r="D257" s="382"/>
      <c r="E257" s="383"/>
      <c r="F257" s="382">
        <f>D256</f>
        <v>2227302</v>
      </c>
      <c r="G257" s="411" t="str">
        <f>E256</f>
        <v>05</v>
      </c>
    </row>
    <row r="258" spans="2:7" ht="22.5">
      <c r="B258" s="374"/>
      <c r="C258" s="381"/>
      <c r="D258" s="382"/>
      <c r="E258" s="383"/>
      <c r="F258" s="385"/>
      <c r="G258" s="386"/>
    </row>
    <row r="259" spans="2:7" ht="22.5">
      <c r="B259" s="374"/>
      <c r="C259" s="381"/>
      <c r="D259" s="385"/>
      <c r="E259" s="383"/>
      <c r="F259" s="385"/>
      <c r="G259" s="386"/>
    </row>
    <row r="260" spans="2:7" ht="22.5">
      <c r="B260" s="374"/>
      <c r="C260" s="381"/>
      <c r="D260" s="385"/>
      <c r="E260" s="383"/>
      <c r="F260" s="385"/>
      <c r="G260" s="386"/>
    </row>
    <row r="261" spans="2:7" ht="22.5">
      <c r="B261" s="374"/>
      <c r="C261" s="381"/>
      <c r="D261" s="385"/>
      <c r="E261" s="383"/>
      <c r="F261" s="385"/>
      <c r="G261" s="386"/>
    </row>
    <row r="262" spans="2:7" ht="22.5">
      <c r="B262" s="374"/>
      <c r="C262" s="381"/>
      <c r="D262" s="382"/>
      <c r="E262" s="383"/>
      <c r="F262" s="385"/>
      <c r="G262" s="386"/>
    </row>
    <row r="263" spans="2:7" ht="22.5">
      <c r="B263" s="374"/>
      <c r="C263" s="381"/>
      <c r="D263" s="382"/>
      <c r="E263" s="383"/>
      <c r="F263" s="385"/>
      <c r="G263" s="386"/>
    </row>
    <row r="264" spans="2:7" ht="22.5">
      <c r="B264" s="374"/>
      <c r="C264" s="381"/>
      <c r="D264" s="382"/>
      <c r="E264" s="383"/>
      <c r="F264" s="382"/>
      <c r="G264" s="386"/>
    </row>
    <row r="265" spans="2:7" ht="22.5">
      <c r="B265" s="374"/>
      <c r="C265" s="381"/>
      <c r="D265" s="382"/>
      <c r="E265" s="383"/>
      <c r="F265" s="382"/>
      <c r="G265" s="386"/>
    </row>
    <row r="266" spans="2:7" ht="22.5">
      <c r="B266" s="374"/>
      <c r="C266" s="381"/>
      <c r="D266" s="382"/>
      <c r="E266" s="383"/>
      <c r="F266" s="382"/>
      <c r="G266" s="386"/>
    </row>
    <row r="267" spans="2:7" ht="22.5">
      <c r="B267" s="374"/>
      <c r="C267" s="381"/>
      <c r="D267" s="374"/>
      <c r="E267" s="383"/>
      <c r="F267" s="382"/>
      <c r="G267" s="386"/>
    </row>
    <row r="268" spans="2:7" ht="22.5">
      <c r="B268" s="374"/>
      <c r="C268" s="381"/>
      <c r="D268" s="374"/>
      <c r="E268" s="383"/>
      <c r="F268" s="382"/>
      <c r="G268" s="386"/>
    </row>
    <row r="269" spans="2:7" ht="22.5">
      <c r="B269" s="388"/>
      <c r="C269" s="389"/>
      <c r="D269" s="390"/>
      <c r="E269" s="391"/>
      <c r="F269" s="392"/>
      <c r="G269" s="391"/>
    </row>
    <row r="270" spans="2:7" ht="22.5">
      <c r="B270" s="393" t="s">
        <v>331</v>
      </c>
      <c r="C270" s="394"/>
      <c r="D270" s="395"/>
      <c r="E270" s="383"/>
      <c r="F270" s="396"/>
      <c r="G270" s="386"/>
    </row>
    <row r="271" spans="2:7" ht="22.5">
      <c r="B271" s="692" t="s">
        <v>16</v>
      </c>
      <c r="C271" s="693"/>
      <c r="D271" s="693"/>
      <c r="E271" s="693"/>
      <c r="F271" s="693"/>
      <c r="G271" s="694"/>
    </row>
    <row r="272" spans="2:7" ht="22.5">
      <c r="B272" s="397" t="s">
        <v>32</v>
      </c>
      <c r="C272" s="394"/>
      <c r="D272" s="395"/>
      <c r="E272" s="383"/>
      <c r="F272" s="396"/>
      <c r="G272" s="386"/>
    </row>
    <row r="273" spans="2:7" ht="22.5">
      <c r="B273" s="397"/>
      <c r="C273" s="394"/>
      <c r="D273" s="395"/>
      <c r="E273" s="383"/>
      <c r="F273" s="396"/>
      <c r="G273" s="386"/>
    </row>
    <row r="274" spans="2:7" ht="22.5">
      <c r="B274" s="397"/>
      <c r="C274" s="394"/>
      <c r="D274" s="395"/>
      <c r="E274" s="383"/>
      <c r="F274" s="396"/>
      <c r="G274" s="386"/>
    </row>
    <row r="275" spans="2:7" ht="22.5">
      <c r="B275" s="397"/>
      <c r="C275" s="394"/>
      <c r="D275" s="395"/>
      <c r="E275" s="383"/>
      <c r="F275" s="396"/>
      <c r="G275" s="386"/>
    </row>
    <row r="276" spans="2:7" ht="22.5">
      <c r="B276" s="397" t="s">
        <v>328</v>
      </c>
      <c r="C276" s="395"/>
      <c r="D276" s="395"/>
      <c r="E276" s="383"/>
      <c r="F276" s="395"/>
      <c r="G276" s="379"/>
    </row>
    <row r="277" spans="2:7" ht="22.5">
      <c r="B277" s="397"/>
      <c r="C277" s="395"/>
      <c r="D277" s="395"/>
      <c r="E277" s="383"/>
      <c r="F277" s="395"/>
      <c r="G277" s="379"/>
    </row>
    <row r="278" spans="2:7" ht="22.5">
      <c r="B278" s="397"/>
      <c r="C278" s="395"/>
      <c r="D278" s="395"/>
      <c r="E278" s="383"/>
      <c r="F278" s="395"/>
      <c r="G278" s="379"/>
    </row>
    <row r="279" spans="2:7" ht="22.5">
      <c r="B279" s="397"/>
      <c r="C279" s="395"/>
      <c r="D279" s="395"/>
      <c r="E279" s="383"/>
      <c r="F279" s="395"/>
      <c r="G279" s="379"/>
    </row>
    <row r="280" spans="2:7" ht="22.5">
      <c r="B280" s="397"/>
      <c r="C280" s="395"/>
      <c r="D280" s="395"/>
      <c r="E280" s="383"/>
      <c r="F280" s="395"/>
      <c r="G280" s="379"/>
    </row>
    <row r="281" spans="2:7" ht="22.5">
      <c r="B281" s="397"/>
      <c r="C281" s="395"/>
      <c r="D281" s="395"/>
      <c r="E281" s="383"/>
      <c r="F281" s="395"/>
      <c r="G281" s="379"/>
    </row>
    <row r="282" spans="2:7" ht="22.5">
      <c r="B282" s="388"/>
      <c r="C282" s="401"/>
      <c r="D282" s="401"/>
      <c r="E282" s="401"/>
      <c r="F282" s="401"/>
      <c r="G282" s="402"/>
    </row>
  </sheetData>
  <sheetProtection/>
  <mergeCells count="48">
    <mergeCell ref="D255:E255"/>
    <mergeCell ref="F255:G255"/>
    <mergeCell ref="B271:G271"/>
    <mergeCell ref="B234:G234"/>
    <mergeCell ref="B251:G251"/>
    <mergeCell ref="B252:G252"/>
    <mergeCell ref="B253:G253"/>
    <mergeCell ref="B215:G215"/>
    <mergeCell ref="B216:G216"/>
    <mergeCell ref="D218:E218"/>
    <mergeCell ref="F218:G218"/>
    <mergeCell ref="D181:E181"/>
    <mergeCell ref="F181:G181"/>
    <mergeCell ref="B197:G197"/>
    <mergeCell ref="B214:G214"/>
    <mergeCell ref="B161:G161"/>
    <mergeCell ref="B177:G177"/>
    <mergeCell ref="B178:G178"/>
    <mergeCell ref="B179:G179"/>
    <mergeCell ref="B142:G142"/>
    <mergeCell ref="B143:G143"/>
    <mergeCell ref="D145:E145"/>
    <mergeCell ref="F145:G145"/>
    <mergeCell ref="D111:E111"/>
    <mergeCell ref="F111:G111"/>
    <mergeCell ref="B127:G127"/>
    <mergeCell ref="B141:G141"/>
    <mergeCell ref="B91:G91"/>
    <mergeCell ref="B107:G107"/>
    <mergeCell ref="B108:G108"/>
    <mergeCell ref="B109:G109"/>
    <mergeCell ref="B74:G74"/>
    <mergeCell ref="B75:G75"/>
    <mergeCell ref="D77:E77"/>
    <mergeCell ref="F77:G77"/>
    <mergeCell ref="D40:E40"/>
    <mergeCell ref="F40:G40"/>
    <mergeCell ref="B56:G56"/>
    <mergeCell ref="B73:G73"/>
    <mergeCell ref="B28:G28"/>
    <mergeCell ref="B36:G36"/>
    <mergeCell ref="B37:G37"/>
    <mergeCell ref="B38:G38"/>
    <mergeCell ref="B1:G1"/>
    <mergeCell ref="B2:G2"/>
    <mergeCell ref="B3:G3"/>
    <mergeCell ref="D5:E5"/>
    <mergeCell ref="F5:G5"/>
  </mergeCells>
  <printOptions/>
  <pageMargins left="0.6" right="0.59" top="0.8" bottom="0.62" header="0.5" footer="0.41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27"/>
  <sheetViews>
    <sheetView zoomScaleSheetLayoutView="100" zoomScalePageLayoutView="0" workbookViewId="0" topLeftCell="A16">
      <selection activeCell="C26" sqref="C26"/>
    </sheetView>
  </sheetViews>
  <sheetFormatPr defaultColWidth="9.140625" defaultRowHeight="21.75"/>
  <cols>
    <col min="1" max="1" width="46.421875" style="13" customWidth="1"/>
    <col min="2" max="2" width="9.140625" style="13" customWidth="1"/>
    <col min="3" max="3" width="13.8515625" style="13" customWidth="1"/>
    <col min="4" max="4" width="4.8515625" style="13" customWidth="1"/>
    <col min="5" max="5" width="12.421875" style="13" customWidth="1"/>
    <col min="6" max="6" width="4.57421875" style="13" customWidth="1"/>
    <col min="7" max="16384" width="9.140625" style="13" customWidth="1"/>
  </cols>
  <sheetData>
    <row r="1" spans="1:6" ht="22.5">
      <c r="A1" s="695" t="s">
        <v>400</v>
      </c>
      <c r="B1" s="695"/>
      <c r="C1" s="695"/>
      <c r="D1" s="695"/>
      <c r="E1" s="695"/>
      <c r="F1" s="695"/>
    </row>
    <row r="2" spans="1:6" ht="22.5">
      <c r="A2" s="695" t="s">
        <v>583</v>
      </c>
      <c r="B2" s="695"/>
      <c r="C2" s="695"/>
      <c r="D2" s="695"/>
      <c r="E2" s="695"/>
      <c r="F2" s="695"/>
    </row>
    <row r="3" spans="1:6" ht="22.5">
      <c r="A3" s="696" t="s">
        <v>330</v>
      </c>
      <c r="B3" s="696"/>
      <c r="C3" s="696"/>
      <c r="D3" s="696"/>
      <c r="E3" s="696"/>
      <c r="F3" s="696"/>
    </row>
    <row r="4" spans="1:6" ht="22.5">
      <c r="A4" s="371" t="s">
        <v>322</v>
      </c>
      <c r="B4" s="371"/>
      <c r="C4" s="371"/>
      <c r="D4" s="371"/>
      <c r="E4" s="371"/>
      <c r="F4" s="371"/>
    </row>
    <row r="5" spans="1:6" ht="22.5">
      <c r="A5" s="372" t="s">
        <v>35</v>
      </c>
      <c r="B5" s="373" t="s">
        <v>34</v>
      </c>
      <c r="C5" s="697" t="s">
        <v>323</v>
      </c>
      <c r="D5" s="698"/>
      <c r="E5" s="699" t="s">
        <v>37</v>
      </c>
      <c r="F5" s="698"/>
    </row>
    <row r="6" spans="1:6" ht="22.5">
      <c r="A6" s="378" t="s">
        <v>3</v>
      </c>
      <c r="B6" s="375"/>
      <c r="C6" s="404">
        <v>4152011</v>
      </c>
      <c r="D6" s="405">
        <v>85</v>
      </c>
      <c r="E6" s="378"/>
      <c r="F6" s="379"/>
    </row>
    <row r="7" spans="1:6" ht="22.5">
      <c r="A7" s="374" t="s">
        <v>4</v>
      </c>
      <c r="B7" s="381"/>
      <c r="C7" s="382"/>
      <c r="D7" s="383"/>
      <c r="E7" s="382">
        <f>C6</f>
        <v>4152011</v>
      </c>
      <c r="F7" s="406">
        <f>D6</f>
        <v>85</v>
      </c>
    </row>
    <row r="8" spans="1:6" ht="22.5">
      <c r="A8" s="374"/>
      <c r="B8" s="381"/>
      <c r="C8" s="382"/>
      <c r="D8" s="383"/>
      <c r="E8" s="385"/>
      <c r="F8" s="386"/>
    </row>
    <row r="9" spans="1:6" ht="22.5">
      <c r="A9" s="374"/>
      <c r="B9" s="381"/>
      <c r="C9" s="385"/>
      <c r="D9" s="383"/>
      <c r="E9" s="385"/>
      <c r="F9" s="386"/>
    </row>
    <row r="10" spans="1:6" ht="22.5">
      <c r="A10" s="374"/>
      <c r="B10" s="381"/>
      <c r="C10" s="382"/>
      <c r="D10" s="383"/>
      <c r="E10" s="385"/>
      <c r="F10" s="386"/>
    </row>
    <row r="11" spans="1:6" ht="22.5">
      <c r="A11" s="374"/>
      <c r="B11" s="381"/>
      <c r="C11" s="382"/>
      <c r="D11" s="383"/>
      <c r="E11" s="385"/>
      <c r="F11" s="407"/>
    </row>
    <row r="12" spans="1:6" ht="22.5">
      <c r="A12" s="374"/>
      <c r="B12" s="381"/>
      <c r="C12" s="382"/>
      <c r="D12" s="383"/>
      <c r="E12" s="382"/>
      <c r="F12" s="386"/>
    </row>
    <row r="13" spans="1:6" ht="22.5">
      <c r="A13" s="374"/>
      <c r="B13" s="381"/>
      <c r="C13" s="374"/>
      <c r="D13" s="383"/>
      <c r="E13" s="382"/>
      <c r="F13" s="386"/>
    </row>
    <row r="14" spans="1:6" ht="22.5">
      <c r="A14" s="374"/>
      <c r="B14" s="381"/>
      <c r="C14" s="374"/>
      <c r="D14" s="383"/>
      <c r="E14" s="382"/>
      <c r="F14" s="386"/>
    </row>
    <row r="15" spans="1:6" ht="22.5">
      <c r="A15" s="388"/>
      <c r="B15" s="389"/>
      <c r="C15" s="390"/>
      <c r="D15" s="391"/>
      <c r="E15" s="392"/>
      <c r="F15" s="391"/>
    </row>
    <row r="16" spans="1:6" ht="22.5">
      <c r="A16" s="397"/>
      <c r="B16" s="394"/>
      <c r="C16" s="408"/>
      <c r="D16" s="383"/>
      <c r="E16" s="396"/>
      <c r="F16" s="386"/>
    </row>
    <row r="17" spans="1:6" ht="22.5">
      <c r="A17" s="393" t="s">
        <v>331</v>
      </c>
      <c r="B17" s="394"/>
      <c r="C17" s="395"/>
      <c r="D17" s="383"/>
      <c r="E17" s="396"/>
      <c r="F17" s="386"/>
    </row>
    <row r="18" spans="1:6" ht="22.5">
      <c r="A18" s="692" t="s">
        <v>5</v>
      </c>
      <c r="B18" s="693"/>
      <c r="C18" s="693"/>
      <c r="D18" s="693"/>
      <c r="E18" s="693"/>
      <c r="F18" s="694"/>
    </row>
    <row r="19" spans="1:6" ht="22.5">
      <c r="A19" s="397" t="s">
        <v>6</v>
      </c>
      <c r="B19" s="394"/>
      <c r="C19" s="395"/>
      <c r="D19" s="383"/>
      <c r="E19" s="396"/>
      <c r="F19" s="386"/>
    </row>
    <row r="20" spans="1:6" ht="22.5">
      <c r="A20" s="397"/>
      <c r="B20" s="394"/>
      <c r="C20" s="395"/>
      <c r="D20" s="383"/>
      <c r="E20" s="396"/>
      <c r="F20" s="386"/>
    </row>
    <row r="21" spans="1:6" ht="22.5">
      <c r="A21" s="397"/>
      <c r="B21" s="394"/>
      <c r="C21" s="395"/>
      <c r="D21" s="383"/>
      <c r="E21" s="396"/>
      <c r="F21" s="386"/>
    </row>
    <row r="22" spans="1:6" ht="22.5">
      <c r="A22" s="397" t="s">
        <v>328</v>
      </c>
      <c r="B22" s="395"/>
      <c r="C22" s="395"/>
      <c r="D22" s="383"/>
      <c r="E22" s="395"/>
      <c r="F22" s="379"/>
    </row>
    <row r="23" spans="1:6" ht="22.5">
      <c r="A23" s="397"/>
      <c r="B23" s="395"/>
      <c r="C23" s="395"/>
      <c r="D23" s="383"/>
      <c r="E23" s="395"/>
      <c r="F23" s="379"/>
    </row>
    <row r="24" spans="1:6" ht="22.5">
      <c r="A24" s="397"/>
      <c r="B24" s="395"/>
      <c r="C24" s="395"/>
      <c r="D24" s="383"/>
      <c r="E24" s="395"/>
      <c r="F24" s="379"/>
    </row>
    <row r="25" spans="1:6" ht="22.5">
      <c r="A25" s="397"/>
      <c r="B25" s="395"/>
      <c r="C25" s="395"/>
      <c r="D25" s="383"/>
      <c r="E25" s="395"/>
      <c r="F25" s="379"/>
    </row>
    <row r="26" spans="1:6" ht="22.5">
      <c r="A26" s="397"/>
      <c r="B26" s="395"/>
      <c r="C26" s="395"/>
      <c r="D26" s="383"/>
      <c r="E26" s="395"/>
      <c r="F26" s="379"/>
    </row>
    <row r="27" spans="1:6" ht="22.5">
      <c r="A27" s="397"/>
      <c r="B27" s="395"/>
      <c r="C27" s="395"/>
      <c r="D27" s="383"/>
      <c r="E27" s="395"/>
      <c r="F27" s="379"/>
    </row>
    <row r="28" spans="1:6" ht="22.5">
      <c r="A28" s="388"/>
      <c r="B28" s="401"/>
      <c r="C28" s="401"/>
      <c r="D28" s="401"/>
      <c r="E28" s="401"/>
      <c r="F28" s="402"/>
    </row>
    <row r="34" spans="1:6" ht="22.5">
      <c r="A34" s="695" t="s">
        <v>522</v>
      </c>
      <c r="B34" s="695"/>
      <c r="C34" s="695"/>
      <c r="D34" s="695"/>
      <c r="E34" s="695"/>
      <c r="F34" s="695"/>
    </row>
    <row r="35" spans="1:6" ht="22.5">
      <c r="A35" s="695" t="s">
        <v>523</v>
      </c>
      <c r="B35" s="695"/>
      <c r="C35" s="695"/>
      <c r="D35" s="695"/>
      <c r="E35" s="695"/>
      <c r="F35" s="695"/>
    </row>
    <row r="36" spans="1:6" ht="22.5">
      <c r="A36" s="696" t="s">
        <v>330</v>
      </c>
      <c r="B36" s="696"/>
      <c r="C36" s="696"/>
      <c r="D36" s="696"/>
      <c r="E36" s="696"/>
      <c r="F36" s="696"/>
    </row>
    <row r="37" spans="1:6" ht="22.5">
      <c r="A37" s="371" t="s">
        <v>322</v>
      </c>
      <c r="B37" s="371"/>
      <c r="C37" s="371"/>
      <c r="D37" s="371"/>
      <c r="E37" s="371"/>
      <c r="F37" s="371"/>
    </row>
    <row r="38" spans="1:6" ht="22.5">
      <c r="A38" s="372" t="s">
        <v>35</v>
      </c>
      <c r="B38" s="373" t="s">
        <v>34</v>
      </c>
      <c r="C38" s="697" t="s">
        <v>323</v>
      </c>
      <c r="D38" s="698"/>
      <c r="E38" s="699" t="s">
        <v>37</v>
      </c>
      <c r="F38" s="698"/>
    </row>
    <row r="39" spans="1:6" ht="22.5">
      <c r="A39" s="378" t="s">
        <v>3</v>
      </c>
      <c r="B39" s="375"/>
      <c r="C39" s="404">
        <v>2098838</v>
      </c>
      <c r="D39" s="405">
        <v>59</v>
      </c>
      <c r="E39" s="378"/>
      <c r="F39" s="379"/>
    </row>
    <row r="40" spans="1:6" ht="22.5">
      <c r="A40" s="374" t="s">
        <v>4</v>
      </c>
      <c r="B40" s="381"/>
      <c r="C40" s="382"/>
      <c r="D40" s="383"/>
      <c r="E40" s="382">
        <f>C39</f>
        <v>2098838</v>
      </c>
      <c r="F40" s="406">
        <f>D39</f>
        <v>59</v>
      </c>
    </row>
    <row r="41" spans="1:6" ht="22.5">
      <c r="A41" s="374"/>
      <c r="B41" s="381"/>
      <c r="C41" s="382"/>
      <c r="D41" s="383"/>
      <c r="E41" s="385"/>
      <c r="F41" s="386"/>
    </row>
    <row r="42" spans="1:6" ht="22.5">
      <c r="A42" s="374"/>
      <c r="B42" s="381"/>
      <c r="C42" s="385"/>
      <c r="D42" s="383"/>
      <c r="E42" s="385"/>
      <c r="F42" s="386"/>
    </row>
    <row r="43" spans="1:6" ht="22.5">
      <c r="A43" s="374"/>
      <c r="B43" s="381"/>
      <c r="C43" s="382"/>
      <c r="D43" s="383"/>
      <c r="E43" s="385"/>
      <c r="F43" s="386"/>
    </row>
    <row r="44" spans="1:6" ht="22.5">
      <c r="A44" s="374"/>
      <c r="B44" s="381"/>
      <c r="C44" s="382"/>
      <c r="D44" s="383"/>
      <c r="E44" s="385"/>
      <c r="F44" s="407"/>
    </row>
    <row r="45" spans="1:6" ht="22.5">
      <c r="A45" s="374"/>
      <c r="B45" s="381"/>
      <c r="C45" s="382"/>
      <c r="D45" s="383"/>
      <c r="E45" s="382"/>
      <c r="F45" s="386"/>
    </row>
    <row r="46" spans="1:6" ht="22.5">
      <c r="A46" s="374"/>
      <c r="B46" s="381"/>
      <c r="C46" s="374"/>
      <c r="D46" s="383"/>
      <c r="E46" s="382"/>
      <c r="F46" s="386"/>
    </row>
    <row r="47" spans="1:6" ht="22.5">
      <c r="A47" s="374"/>
      <c r="B47" s="381"/>
      <c r="C47" s="374"/>
      <c r="D47" s="383"/>
      <c r="E47" s="382"/>
      <c r="F47" s="386"/>
    </row>
    <row r="48" spans="1:6" ht="22.5">
      <c r="A48" s="388"/>
      <c r="B48" s="389"/>
      <c r="C48" s="390"/>
      <c r="D48" s="391"/>
      <c r="E48" s="392"/>
      <c r="F48" s="391"/>
    </row>
    <row r="49" spans="1:6" ht="22.5">
      <c r="A49" s="397"/>
      <c r="B49" s="394"/>
      <c r="C49" s="408"/>
      <c r="D49" s="383"/>
      <c r="E49" s="396"/>
      <c r="F49" s="386"/>
    </row>
    <row r="50" spans="1:6" ht="22.5">
      <c r="A50" s="393" t="s">
        <v>331</v>
      </c>
      <c r="B50" s="394"/>
      <c r="C50" s="395"/>
      <c r="D50" s="383"/>
      <c r="E50" s="396"/>
      <c r="F50" s="386"/>
    </row>
    <row r="51" spans="1:6" ht="22.5">
      <c r="A51" s="692" t="s">
        <v>5</v>
      </c>
      <c r="B51" s="693"/>
      <c r="C51" s="693"/>
      <c r="D51" s="693"/>
      <c r="E51" s="693"/>
      <c r="F51" s="694"/>
    </row>
    <row r="52" spans="1:6" ht="22.5">
      <c r="A52" s="397" t="s">
        <v>6</v>
      </c>
      <c r="B52" s="394"/>
      <c r="C52" s="395"/>
      <c r="D52" s="383"/>
      <c r="E52" s="396"/>
      <c r="F52" s="386"/>
    </row>
    <row r="53" spans="1:6" ht="22.5">
      <c r="A53" s="397"/>
      <c r="B53" s="394"/>
      <c r="C53" s="395"/>
      <c r="D53" s="383"/>
      <c r="E53" s="396"/>
      <c r="F53" s="386"/>
    </row>
    <row r="54" spans="1:6" ht="22.5">
      <c r="A54" s="397"/>
      <c r="B54" s="394"/>
      <c r="C54" s="395"/>
      <c r="D54" s="383"/>
      <c r="E54" s="396"/>
      <c r="F54" s="386"/>
    </row>
    <row r="55" spans="1:6" ht="22.5">
      <c r="A55" s="397" t="s">
        <v>328</v>
      </c>
      <c r="B55" s="395"/>
      <c r="C55" s="395"/>
      <c r="D55" s="383"/>
      <c r="E55" s="395"/>
      <c r="F55" s="379"/>
    </row>
    <row r="56" spans="1:6" ht="22.5">
      <c r="A56" s="397"/>
      <c r="B56" s="395"/>
      <c r="C56" s="395"/>
      <c r="D56" s="383"/>
      <c r="E56" s="395"/>
      <c r="F56" s="379"/>
    </row>
    <row r="57" spans="1:6" ht="22.5">
      <c r="A57" s="397"/>
      <c r="B57" s="395"/>
      <c r="C57" s="395"/>
      <c r="D57" s="383"/>
      <c r="E57" s="395"/>
      <c r="F57" s="379"/>
    </row>
    <row r="58" spans="1:6" ht="22.5">
      <c r="A58" s="397"/>
      <c r="B58" s="395"/>
      <c r="C58" s="395"/>
      <c r="D58" s="383"/>
      <c r="E58" s="395"/>
      <c r="F58" s="379"/>
    </row>
    <row r="59" spans="1:6" ht="22.5">
      <c r="A59" s="397"/>
      <c r="B59" s="395"/>
      <c r="C59" s="395"/>
      <c r="D59" s="383"/>
      <c r="E59" s="395"/>
      <c r="F59" s="379"/>
    </row>
    <row r="60" spans="1:6" ht="22.5">
      <c r="A60" s="397"/>
      <c r="B60" s="395"/>
      <c r="C60" s="395"/>
      <c r="D60" s="383"/>
      <c r="E60" s="395"/>
      <c r="F60" s="379"/>
    </row>
    <row r="61" spans="1:6" ht="22.5">
      <c r="A61" s="388"/>
      <c r="B61" s="401"/>
      <c r="C61" s="401"/>
      <c r="D61" s="401"/>
      <c r="E61" s="401"/>
      <c r="F61" s="402"/>
    </row>
    <row r="62" spans="1:6" ht="22.5">
      <c r="A62" s="403"/>
      <c r="B62" s="403"/>
      <c r="C62" s="403"/>
      <c r="D62" s="412"/>
      <c r="E62" s="403"/>
      <c r="F62" s="403"/>
    </row>
    <row r="63" spans="1:6" ht="22.5">
      <c r="A63" s="395"/>
      <c r="B63" s="395"/>
      <c r="C63" s="395"/>
      <c r="D63" s="383"/>
      <c r="E63" s="395"/>
      <c r="F63" s="395"/>
    </row>
    <row r="64" spans="1:6" ht="22.5">
      <c r="A64" s="395"/>
      <c r="B64" s="395"/>
      <c r="C64" s="395"/>
      <c r="D64" s="383"/>
      <c r="E64" s="395"/>
      <c r="F64" s="395"/>
    </row>
    <row r="65" spans="1:6" ht="22.5">
      <c r="A65" s="395"/>
      <c r="B65" s="395"/>
      <c r="C65" s="395"/>
      <c r="D65" s="383"/>
      <c r="E65" s="395"/>
      <c r="F65" s="395"/>
    </row>
    <row r="66" spans="1:6" ht="22.5">
      <c r="A66" s="395"/>
      <c r="B66" s="395"/>
      <c r="C66" s="395"/>
      <c r="D66" s="395"/>
      <c r="E66" s="395"/>
      <c r="F66" s="395"/>
    </row>
    <row r="67" spans="1:6" ht="22.5">
      <c r="A67" s="695" t="s">
        <v>9</v>
      </c>
      <c r="B67" s="695"/>
      <c r="C67" s="695"/>
      <c r="D67" s="695"/>
      <c r="E67" s="695"/>
      <c r="F67" s="695"/>
    </row>
    <row r="68" spans="1:6" ht="22.5">
      <c r="A68" s="695" t="s">
        <v>10</v>
      </c>
      <c r="B68" s="695"/>
      <c r="C68" s="695"/>
      <c r="D68" s="695"/>
      <c r="E68" s="695"/>
      <c r="F68" s="695"/>
    </row>
    <row r="69" spans="1:6" ht="22.5">
      <c r="A69" s="696" t="s">
        <v>330</v>
      </c>
      <c r="B69" s="696"/>
      <c r="C69" s="696"/>
      <c r="D69" s="696"/>
      <c r="E69" s="696"/>
      <c r="F69" s="696"/>
    </row>
    <row r="70" spans="1:6" ht="22.5">
      <c r="A70" s="371" t="s">
        <v>322</v>
      </c>
      <c r="B70" s="371"/>
      <c r="C70" s="371"/>
      <c r="D70" s="371"/>
      <c r="E70" s="371"/>
      <c r="F70" s="371"/>
    </row>
    <row r="71" spans="1:6" ht="22.5">
      <c r="A71" s="372" t="s">
        <v>35</v>
      </c>
      <c r="B71" s="373" t="s">
        <v>34</v>
      </c>
      <c r="C71" s="697" t="s">
        <v>323</v>
      </c>
      <c r="D71" s="698"/>
      <c r="E71" s="699" t="s">
        <v>37</v>
      </c>
      <c r="F71" s="698"/>
    </row>
    <row r="72" spans="1:6" ht="22.5">
      <c r="A72" s="378" t="s">
        <v>3</v>
      </c>
      <c r="B72" s="375"/>
      <c r="C72" s="404">
        <v>10500</v>
      </c>
      <c r="D72" s="405">
        <v>0</v>
      </c>
      <c r="E72" s="378"/>
      <c r="F72" s="379"/>
    </row>
    <row r="73" spans="1:6" ht="22.5">
      <c r="A73" s="409" t="s">
        <v>43</v>
      </c>
      <c r="B73" s="381"/>
      <c r="C73" s="382"/>
      <c r="D73" s="383"/>
      <c r="E73" s="382">
        <f>C72</f>
        <v>10500</v>
      </c>
      <c r="F73" s="406">
        <f>D72</f>
        <v>0</v>
      </c>
    </row>
    <row r="74" spans="1:6" ht="22.5">
      <c r="A74" s="374"/>
      <c r="B74" s="381"/>
      <c r="C74" s="382"/>
      <c r="D74" s="383"/>
      <c r="E74" s="385"/>
      <c r="F74" s="386"/>
    </row>
    <row r="75" spans="1:6" ht="22.5">
      <c r="A75" s="374"/>
      <c r="B75" s="381"/>
      <c r="C75" s="385"/>
      <c r="D75" s="383"/>
      <c r="E75" s="385"/>
      <c r="F75" s="386"/>
    </row>
    <row r="76" spans="1:6" ht="22.5">
      <c r="A76" s="374"/>
      <c r="B76" s="381"/>
      <c r="C76" s="382"/>
      <c r="D76" s="383"/>
      <c r="E76" s="385"/>
      <c r="F76" s="386"/>
    </row>
    <row r="77" spans="1:6" ht="22.5">
      <c r="A77" s="374"/>
      <c r="B77" s="381"/>
      <c r="C77" s="382"/>
      <c r="D77" s="383"/>
      <c r="E77" s="385"/>
      <c r="F77" s="407"/>
    </row>
    <row r="78" spans="1:6" ht="22.5">
      <c r="A78" s="374"/>
      <c r="B78" s="381"/>
      <c r="C78" s="382"/>
      <c r="D78" s="383"/>
      <c r="E78" s="382"/>
      <c r="F78" s="386"/>
    </row>
    <row r="79" spans="1:6" ht="22.5">
      <c r="A79" s="374"/>
      <c r="B79" s="381"/>
      <c r="C79" s="374"/>
      <c r="D79" s="383"/>
      <c r="E79" s="382"/>
      <c r="F79" s="386"/>
    </row>
    <row r="80" spans="1:6" ht="22.5">
      <c r="A80" s="374"/>
      <c r="B80" s="381"/>
      <c r="C80" s="374"/>
      <c r="D80" s="383"/>
      <c r="E80" s="382"/>
      <c r="F80" s="386"/>
    </row>
    <row r="81" spans="1:6" ht="22.5">
      <c r="A81" s="388"/>
      <c r="B81" s="389"/>
      <c r="C81" s="390"/>
      <c r="D81" s="391"/>
      <c r="E81" s="392"/>
      <c r="F81" s="391"/>
    </row>
    <row r="82" spans="1:6" ht="22.5">
      <c r="A82" s="397"/>
      <c r="B82" s="394"/>
      <c r="C82" s="408"/>
      <c r="D82" s="383"/>
      <c r="E82" s="396"/>
      <c r="F82" s="386"/>
    </row>
    <row r="83" spans="1:6" ht="22.5">
      <c r="A83" s="393" t="s">
        <v>331</v>
      </c>
      <c r="B83" s="394"/>
      <c r="C83" s="395"/>
      <c r="D83" s="383"/>
      <c r="E83" s="396"/>
      <c r="F83" s="386"/>
    </row>
    <row r="84" spans="1:6" ht="22.5">
      <c r="A84" s="692" t="s">
        <v>11</v>
      </c>
      <c r="B84" s="693"/>
      <c r="C84" s="693"/>
      <c r="D84" s="693"/>
      <c r="E84" s="693"/>
      <c r="F84" s="694"/>
    </row>
    <row r="85" spans="1:6" ht="22.5">
      <c r="A85" s="397" t="s">
        <v>12</v>
      </c>
      <c r="B85" s="394"/>
      <c r="C85" s="395"/>
      <c r="D85" s="383"/>
      <c r="E85" s="396"/>
      <c r="F85" s="386"/>
    </row>
    <row r="86" spans="1:6" ht="22.5">
      <c r="A86" s="397"/>
      <c r="B86" s="394"/>
      <c r="C86" s="395"/>
      <c r="D86" s="383"/>
      <c r="E86" s="396"/>
      <c r="F86" s="386"/>
    </row>
    <row r="87" spans="1:6" ht="22.5">
      <c r="A87" s="397"/>
      <c r="B87" s="394"/>
      <c r="C87" s="395"/>
      <c r="D87" s="383"/>
      <c r="E87" s="396"/>
      <c r="F87" s="386"/>
    </row>
    <row r="88" spans="1:6" ht="22.5">
      <c r="A88" s="397" t="s">
        <v>328</v>
      </c>
      <c r="B88" s="395"/>
      <c r="C88" s="395"/>
      <c r="D88" s="383"/>
      <c r="E88" s="395"/>
      <c r="F88" s="379"/>
    </row>
    <row r="89" spans="1:6" ht="22.5">
      <c r="A89" s="397"/>
      <c r="B89" s="395"/>
      <c r="C89" s="395"/>
      <c r="D89" s="383"/>
      <c r="E89" s="395"/>
      <c r="F89" s="379"/>
    </row>
    <row r="90" spans="1:6" ht="22.5">
      <c r="A90" s="397"/>
      <c r="B90" s="395"/>
      <c r="C90" s="395"/>
      <c r="D90" s="383"/>
      <c r="E90" s="395"/>
      <c r="F90" s="379"/>
    </row>
    <row r="91" spans="1:6" ht="22.5">
      <c r="A91" s="397"/>
      <c r="B91" s="395"/>
      <c r="C91" s="395"/>
      <c r="D91" s="383"/>
      <c r="E91" s="395"/>
      <c r="F91" s="379"/>
    </row>
    <row r="92" spans="1:6" ht="22.5">
      <c r="A92" s="397"/>
      <c r="B92" s="395"/>
      <c r="C92" s="395"/>
      <c r="D92" s="383"/>
      <c r="E92" s="395"/>
      <c r="F92" s="379"/>
    </row>
    <row r="93" spans="1:6" ht="22.5">
      <c r="A93" s="397"/>
      <c r="B93" s="395"/>
      <c r="C93" s="395"/>
      <c r="D93" s="383"/>
      <c r="E93" s="395"/>
      <c r="F93" s="379"/>
    </row>
    <row r="94" spans="1:6" ht="22.5">
      <c r="A94" s="388"/>
      <c r="B94" s="401"/>
      <c r="C94" s="401"/>
      <c r="D94" s="401"/>
      <c r="E94" s="401"/>
      <c r="F94" s="402"/>
    </row>
    <row r="95" spans="1:6" ht="22.5">
      <c r="A95" s="403"/>
      <c r="B95" s="403"/>
      <c r="C95" s="403"/>
      <c r="D95" s="403"/>
      <c r="E95" s="403"/>
      <c r="F95" s="403"/>
    </row>
    <row r="96" spans="1:6" ht="22.5">
      <c r="A96" s="395"/>
      <c r="B96" s="395"/>
      <c r="C96" s="395"/>
      <c r="D96" s="395"/>
      <c r="E96" s="395"/>
      <c r="F96" s="395"/>
    </row>
    <row r="97" spans="1:6" ht="22.5">
      <c r="A97" s="395"/>
      <c r="B97" s="395"/>
      <c r="C97" s="395"/>
      <c r="D97" s="395"/>
      <c r="E97" s="395"/>
      <c r="F97" s="395"/>
    </row>
    <row r="98" spans="1:6" ht="22.5">
      <c r="A98" s="395"/>
      <c r="B98" s="395"/>
      <c r="C98" s="395"/>
      <c r="D98" s="395"/>
      <c r="E98" s="395"/>
      <c r="F98" s="395"/>
    </row>
    <row r="99" spans="1:6" ht="22.5">
      <c r="A99" s="395"/>
      <c r="B99" s="395"/>
      <c r="C99" s="395"/>
      <c r="D99" s="395"/>
      <c r="E99" s="395"/>
      <c r="F99" s="395"/>
    </row>
    <row r="100" spans="1:6" ht="22.5">
      <c r="A100" s="695" t="s">
        <v>9</v>
      </c>
      <c r="B100" s="695"/>
      <c r="C100" s="695"/>
      <c r="D100" s="695"/>
      <c r="E100" s="695"/>
      <c r="F100" s="695"/>
    </row>
    <row r="101" spans="1:6" ht="22.5">
      <c r="A101" s="695" t="s">
        <v>10</v>
      </c>
      <c r="B101" s="695"/>
      <c r="C101" s="695"/>
      <c r="D101" s="695"/>
      <c r="E101" s="695"/>
      <c r="F101" s="695"/>
    </row>
    <row r="102" spans="1:6" ht="22.5">
      <c r="A102" s="696" t="s">
        <v>330</v>
      </c>
      <c r="B102" s="696"/>
      <c r="C102" s="696"/>
      <c r="D102" s="696"/>
      <c r="E102" s="696"/>
      <c r="F102" s="696"/>
    </row>
    <row r="103" spans="1:6" ht="22.5">
      <c r="A103" s="371" t="s">
        <v>322</v>
      </c>
      <c r="B103" s="371"/>
      <c r="C103" s="371"/>
      <c r="D103" s="371"/>
      <c r="E103" s="371"/>
      <c r="F103" s="371"/>
    </row>
    <row r="104" spans="1:6" ht="22.5">
      <c r="A104" s="372" t="s">
        <v>35</v>
      </c>
      <c r="B104" s="373" t="s">
        <v>34</v>
      </c>
      <c r="C104" s="697" t="s">
        <v>323</v>
      </c>
      <c r="D104" s="698"/>
      <c r="E104" s="699" t="s">
        <v>37</v>
      </c>
      <c r="F104" s="698"/>
    </row>
    <row r="105" spans="1:6" ht="22.5">
      <c r="A105" s="378" t="s">
        <v>3</v>
      </c>
      <c r="B105" s="375"/>
      <c r="C105" s="404">
        <v>40000</v>
      </c>
      <c r="D105" s="405">
        <v>0</v>
      </c>
      <c r="E105" s="378"/>
      <c r="F105" s="379"/>
    </row>
    <row r="106" spans="1:6" ht="22.5">
      <c r="A106" s="374" t="s">
        <v>8</v>
      </c>
      <c r="B106" s="381"/>
      <c r="C106" s="382"/>
      <c r="D106" s="383"/>
      <c r="E106" s="382">
        <f>C105</f>
        <v>40000</v>
      </c>
      <c r="F106" s="406">
        <f>D105</f>
        <v>0</v>
      </c>
    </row>
    <row r="107" spans="1:6" ht="22.5">
      <c r="A107" s="374"/>
      <c r="B107" s="381"/>
      <c r="C107" s="382"/>
      <c r="D107" s="383"/>
      <c r="E107" s="385"/>
      <c r="F107" s="386"/>
    </row>
    <row r="108" spans="1:6" ht="22.5">
      <c r="A108" s="374"/>
      <c r="B108" s="381"/>
      <c r="C108" s="385"/>
      <c r="D108" s="383"/>
      <c r="E108" s="385"/>
      <c r="F108" s="386"/>
    </row>
    <row r="109" spans="1:6" ht="22.5">
      <c r="A109" s="374"/>
      <c r="B109" s="381"/>
      <c r="C109" s="382"/>
      <c r="D109" s="383"/>
      <c r="E109" s="385"/>
      <c r="F109" s="386"/>
    </row>
    <row r="110" spans="1:6" ht="22.5">
      <c r="A110" s="374"/>
      <c r="B110" s="381"/>
      <c r="C110" s="382"/>
      <c r="D110" s="383"/>
      <c r="E110" s="385"/>
      <c r="F110" s="407"/>
    </row>
    <row r="111" spans="1:6" ht="22.5">
      <c r="A111" s="374"/>
      <c r="B111" s="381"/>
      <c r="C111" s="382"/>
      <c r="D111" s="383"/>
      <c r="E111" s="382"/>
      <c r="F111" s="386"/>
    </row>
    <row r="112" spans="1:6" ht="22.5">
      <c r="A112" s="374"/>
      <c r="B112" s="381"/>
      <c r="C112" s="374"/>
      <c r="D112" s="383"/>
      <c r="E112" s="382"/>
      <c r="F112" s="386"/>
    </row>
    <row r="113" spans="1:6" ht="22.5">
      <c r="A113" s="374"/>
      <c r="B113" s="381"/>
      <c r="C113" s="374"/>
      <c r="D113" s="383"/>
      <c r="E113" s="382"/>
      <c r="F113" s="386"/>
    </row>
    <row r="114" spans="1:6" ht="22.5">
      <c r="A114" s="388"/>
      <c r="B114" s="389"/>
      <c r="C114" s="390"/>
      <c r="D114" s="391"/>
      <c r="E114" s="392"/>
      <c r="F114" s="391"/>
    </row>
    <row r="115" spans="1:6" ht="22.5">
      <c r="A115" s="397"/>
      <c r="B115" s="394"/>
      <c r="C115" s="408"/>
      <c r="D115" s="383"/>
      <c r="E115" s="396"/>
      <c r="F115" s="386"/>
    </row>
    <row r="116" spans="1:6" ht="22.5">
      <c r="A116" s="393" t="s">
        <v>331</v>
      </c>
      <c r="B116" s="394"/>
      <c r="C116" s="395"/>
      <c r="D116" s="383"/>
      <c r="E116" s="396"/>
      <c r="F116" s="386"/>
    </row>
    <row r="117" spans="1:6" ht="22.5">
      <c r="A117" s="692" t="s">
        <v>13</v>
      </c>
      <c r="B117" s="693"/>
      <c r="C117" s="693"/>
      <c r="D117" s="693"/>
      <c r="E117" s="693"/>
      <c r="F117" s="694"/>
    </row>
    <row r="118" spans="1:6" ht="22.5">
      <c r="A118" s="397" t="s">
        <v>6</v>
      </c>
      <c r="B118" s="394"/>
      <c r="C118" s="395"/>
      <c r="D118" s="383"/>
      <c r="E118" s="396"/>
      <c r="F118" s="386"/>
    </row>
    <row r="119" spans="1:6" ht="22.5">
      <c r="A119" s="397"/>
      <c r="B119" s="394"/>
      <c r="C119" s="395"/>
      <c r="D119" s="383"/>
      <c r="E119" s="396"/>
      <c r="F119" s="386"/>
    </row>
    <row r="120" spans="1:6" ht="22.5">
      <c r="A120" s="397"/>
      <c r="B120" s="394"/>
      <c r="C120" s="395"/>
      <c r="D120" s="383"/>
      <c r="E120" s="396"/>
      <c r="F120" s="386"/>
    </row>
    <row r="121" spans="1:6" ht="22.5">
      <c r="A121" s="397" t="s">
        <v>328</v>
      </c>
      <c r="B121" s="395"/>
      <c r="C121" s="395"/>
      <c r="D121" s="383"/>
      <c r="E121" s="395"/>
      <c r="F121" s="379"/>
    </row>
    <row r="122" spans="1:6" ht="22.5">
      <c r="A122" s="397"/>
      <c r="B122" s="395"/>
      <c r="C122" s="395"/>
      <c r="D122" s="383"/>
      <c r="E122" s="395"/>
      <c r="F122" s="379"/>
    </row>
    <row r="123" spans="1:6" ht="22.5">
      <c r="A123" s="397"/>
      <c r="B123" s="395"/>
      <c r="C123" s="395"/>
      <c r="D123" s="383"/>
      <c r="E123" s="395"/>
      <c r="F123" s="379"/>
    </row>
    <row r="124" spans="1:6" ht="22.5">
      <c r="A124" s="397"/>
      <c r="B124" s="395"/>
      <c r="C124" s="395"/>
      <c r="D124" s="383"/>
      <c r="E124" s="395"/>
      <c r="F124" s="379"/>
    </row>
    <row r="125" spans="1:6" ht="22.5">
      <c r="A125" s="397"/>
      <c r="B125" s="395"/>
      <c r="C125" s="395"/>
      <c r="D125" s="383"/>
      <c r="E125" s="395"/>
      <c r="F125" s="379"/>
    </row>
    <row r="126" spans="1:6" ht="22.5">
      <c r="A126" s="397"/>
      <c r="B126" s="395"/>
      <c r="C126" s="395"/>
      <c r="D126" s="383"/>
      <c r="E126" s="395"/>
      <c r="F126" s="379"/>
    </row>
    <row r="127" spans="1:6" ht="22.5">
      <c r="A127" s="388"/>
      <c r="B127" s="401"/>
      <c r="C127" s="401"/>
      <c r="D127" s="401"/>
      <c r="E127" s="401"/>
      <c r="F127" s="402"/>
    </row>
  </sheetData>
  <sheetProtection/>
  <mergeCells count="24">
    <mergeCell ref="A34:F34"/>
    <mergeCell ref="C38:D38"/>
    <mergeCell ref="E38:F38"/>
    <mergeCell ref="A51:F51"/>
    <mergeCell ref="A68:F68"/>
    <mergeCell ref="A69:F69"/>
    <mergeCell ref="C71:D71"/>
    <mergeCell ref="E71:F71"/>
    <mergeCell ref="C104:D104"/>
    <mergeCell ref="E104:F104"/>
    <mergeCell ref="A117:F117"/>
    <mergeCell ref="A100:F100"/>
    <mergeCell ref="A101:F101"/>
    <mergeCell ref="A102:F102"/>
    <mergeCell ref="A1:F1"/>
    <mergeCell ref="A84:F84"/>
    <mergeCell ref="A35:F35"/>
    <mergeCell ref="A36:F36"/>
    <mergeCell ref="A18:F18"/>
    <mergeCell ref="A2:F2"/>
    <mergeCell ref="A3:F3"/>
    <mergeCell ref="C5:D5"/>
    <mergeCell ref="E5:F5"/>
    <mergeCell ref="A67:F67"/>
  </mergeCells>
  <printOptions/>
  <pageMargins left="0.85" right="0.59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5"/>
  </sheetPr>
  <dimension ref="A1:M80"/>
  <sheetViews>
    <sheetView zoomScaleSheetLayoutView="75" zoomScalePageLayoutView="0" workbookViewId="0" topLeftCell="A31">
      <pane xSplit="4" topLeftCell="AA1" activePane="topRight" state="frozen"/>
      <selection pane="topLeft" activeCell="A17" sqref="A17"/>
      <selection pane="topRight" activeCell="AC39" sqref="AC39"/>
    </sheetView>
  </sheetViews>
  <sheetFormatPr defaultColWidth="9.140625" defaultRowHeight="21.75"/>
  <cols>
    <col min="1" max="3" width="9.140625" style="13" customWidth="1"/>
    <col min="4" max="4" width="28.8515625" style="13" customWidth="1"/>
    <col min="5" max="5" width="11.00390625" style="13" customWidth="1"/>
    <col min="6" max="7" width="20.8515625" style="13" customWidth="1"/>
    <col min="8" max="8" width="16.140625" style="13" customWidth="1"/>
    <col min="9" max="10" width="20.8515625" style="13" customWidth="1"/>
    <col min="11" max="12" width="9.140625" style="13" customWidth="1"/>
    <col min="13" max="13" width="13.57421875" style="13" bestFit="1" customWidth="1"/>
    <col min="14" max="16384" width="9.140625" style="13" customWidth="1"/>
  </cols>
  <sheetData>
    <row r="1" spans="1:7" ht="26.25">
      <c r="A1" s="578" t="s">
        <v>33</v>
      </c>
      <c r="B1" s="578"/>
      <c r="C1" s="578"/>
      <c r="D1" s="578"/>
      <c r="E1" s="578"/>
      <c r="F1" s="578"/>
      <c r="G1" s="578"/>
    </row>
    <row r="2" spans="1:7" ht="23.25">
      <c r="A2" s="579" t="s">
        <v>369</v>
      </c>
      <c r="B2" s="579"/>
      <c r="C2" s="579"/>
      <c r="D2" s="579"/>
      <c r="E2" s="579"/>
      <c r="F2" s="579"/>
      <c r="G2" s="579"/>
    </row>
    <row r="3" spans="1:9" ht="23.25">
      <c r="A3" s="580" t="s">
        <v>387</v>
      </c>
      <c r="B3" s="580"/>
      <c r="C3" s="580"/>
      <c r="D3" s="580"/>
      <c r="E3" s="580"/>
      <c r="F3" s="580"/>
      <c r="G3" s="580"/>
      <c r="I3" s="13" t="s">
        <v>442</v>
      </c>
    </row>
    <row r="4" spans="1:7" ht="6" customHeight="1">
      <c r="A4" s="106"/>
      <c r="B4" s="106"/>
      <c r="C4" s="106"/>
      <c r="D4" s="106"/>
      <c r="E4" s="106"/>
      <c r="F4" s="106"/>
      <c r="G4" s="106"/>
    </row>
    <row r="5" spans="1:10" ht="21.75">
      <c r="A5" s="570" t="s">
        <v>35</v>
      </c>
      <c r="B5" s="571"/>
      <c r="C5" s="571"/>
      <c r="D5" s="572"/>
      <c r="E5" s="576" t="s">
        <v>34</v>
      </c>
      <c r="F5" s="576" t="s">
        <v>36</v>
      </c>
      <c r="G5" s="576" t="s">
        <v>37</v>
      </c>
      <c r="I5" s="576" t="s">
        <v>36</v>
      </c>
      <c r="J5" s="576" t="s">
        <v>37</v>
      </c>
    </row>
    <row r="6" spans="1:10" ht="21.75">
      <c r="A6" s="581"/>
      <c r="B6" s="582"/>
      <c r="C6" s="582"/>
      <c r="D6" s="583"/>
      <c r="E6" s="584"/>
      <c r="F6" s="584"/>
      <c r="G6" s="584"/>
      <c r="I6" s="584"/>
      <c r="J6" s="584"/>
    </row>
    <row r="7" spans="1:10" ht="23.25">
      <c r="A7" s="585" t="s">
        <v>38</v>
      </c>
      <c r="B7" s="586"/>
      <c r="C7" s="586"/>
      <c r="D7" s="586"/>
      <c r="E7" s="107" t="s">
        <v>291</v>
      </c>
      <c r="F7" s="464">
        <v>36165</v>
      </c>
      <c r="G7" s="108"/>
      <c r="I7" s="464">
        <v>5000</v>
      </c>
      <c r="J7" s="108"/>
    </row>
    <row r="8" spans="1:10" ht="23.25">
      <c r="A8" s="109" t="s">
        <v>39</v>
      </c>
      <c r="B8" s="110"/>
      <c r="C8" s="110"/>
      <c r="D8" s="110"/>
      <c r="E8" s="111" t="s">
        <v>292</v>
      </c>
      <c r="F8" s="285">
        <v>0</v>
      </c>
      <c r="G8" s="112"/>
      <c r="I8" s="285">
        <v>0</v>
      </c>
      <c r="J8" s="112"/>
    </row>
    <row r="9" spans="1:10" ht="23.25">
      <c r="A9" s="567" t="s">
        <v>97</v>
      </c>
      <c r="B9" s="568"/>
      <c r="C9" s="568"/>
      <c r="D9" s="568"/>
      <c r="E9" s="111" t="s">
        <v>293</v>
      </c>
      <c r="F9" s="285">
        <v>2036542.45</v>
      </c>
      <c r="G9" s="112"/>
      <c r="H9" s="296"/>
      <c r="I9" s="285">
        <v>659306.28</v>
      </c>
      <c r="J9" s="112"/>
    </row>
    <row r="10" spans="1:10" ht="23.25">
      <c r="A10" s="109" t="s">
        <v>103</v>
      </c>
      <c r="B10" s="110"/>
      <c r="C10" s="110"/>
      <c r="D10" s="110"/>
      <c r="E10" s="111" t="s">
        <v>293</v>
      </c>
      <c r="F10" s="285">
        <v>0</v>
      </c>
      <c r="G10" s="112"/>
      <c r="I10" s="285">
        <v>0</v>
      </c>
      <c r="J10" s="112"/>
    </row>
    <row r="11" spans="1:10" ht="23.25">
      <c r="A11" s="109" t="s">
        <v>111</v>
      </c>
      <c r="B11" s="110"/>
      <c r="C11" s="110"/>
      <c r="D11" s="110"/>
      <c r="E11" s="111" t="s">
        <v>293</v>
      </c>
      <c r="F11" s="285">
        <v>0</v>
      </c>
      <c r="G11" s="112"/>
      <c r="I11" s="285">
        <v>0</v>
      </c>
      <c r="J11" s="112"/>
    </row>
    <row r="12" spans="1:10" ht="23.25">
      <c r="A12" s="109" t="s">
        <v>96</v>
      </c>
      <c r="B12" s="110"/>
      <c r="C12" s="110"/>
      <c r="D12" s="110"/>
      <c r="E12" s="111" t="s">
        <v>294</v>
      </c>
      <c r="F12" s="284">
        <v>1509.66</v>
      </c>
      <c r="G12" s="112"/>
      <c r="I12" s="284">
        <v>1509.66</v>
      </c>
      <c r="J12" s="112"/>
    </row>
    <row r="13" spans="1:10" ht="23.25">
      <c r="A13" s="567" t="s">
        <v>98</v>
      </c>
      <c r="B13" s="568"/>
      <c r="C13" s="568"/>
      <c r="D13" s="568"/>
      <c r="E13" s="111" t="s">
        <v>294</v>
      </c>
      <c r="F13" s="284">
        <v>7041771.67</v>
      </c>
      <c r="G13" s="112"/>
      <c r="H13" s="46"/>
      <c r="I13" s="284">
        <v>6422110</v>
      </c>
      <c r="J13" s="112"/>
    </row>
    <row r="14" spans="1:10" ht="23.25">
      <c r="A14" s="567" t="s">
        <v>99</v>
      </c>
      <c r="B14" s="568"/>
      <c r="C14" s="568"/>
      <c r="D14" s="568"/>
      <c r="E14" s="111" t="s">
        <v>294</v>
      </c>
      <c r="F14" s="284">
        <v>998063.24</v>
      </c>
      <c r="G14" s="112"/>
      <c r="I14" s="284">
        <v>1153070.24</v>
      </c>
      <c r="J14" s="112"/>
    </row>
    <row r="15" spans="1:10" ht="23.25">
      <c r="A15" s="567" t="s">
        <v>100</v>
      </c>
      <c r="B15" s="568"/>
      <c r="C15" s="568"/>
      <c r="D15" s="568"/>
      <c r="E15" s="111" t="s">
        <v>295</v>
      </c>
      <c r="F15" s="284">
        <v>2978619.83</v>
      </c>
      <c r="G15" s="112"/>
      <c r="H15" s="113">
        <f>SUM(F7:F17)</f>
        <v>19379779.93</v>
      </c>
      <c r="I15" s="284">
        <v>2993512.93</v>
      </c>
      <c r="J15" s="112"/>
    </row>
    <row r="16" spans="1:13" ht="23.25">
      <c r="A16" s="109" t="s">
        <v>171</v>
      </c>
      <c r="B16" s="110"/>
      <c r="C16" s="110"/>
      <c r="D16" s="110"/>
      <c r="E16" s="111" t="s">
        <v>295</v>
      </c>
      <c r="F16" s="284">
        <v>6282085.42</v>
      </c>
      <c r="G16" s="112"/>
      <c r="I16" s="284">
        <v>6282085.42</v>
      </c>
      <c r="J16" s="112"/>
      <c r="M16" s="99"/>
    </row>
    <row r="17" spans="1:10" ht="23.25">
      <c r="A17" s="567" t="s">
        <v>440</v>
      </c>
      <c r="B17" s="568"/>
      <c r="C17" s="568"/>
      <c r="D17" s="568"/>
      <c r="E17" s="111" t="s">
        <v>296</v>
      </c>
      <c r="F17" s="285">
        <v>5022.66</v>
      </c>
      <c r="G17" s="112"/>
      <c r="H17" s="46"/>
      <c r="I17" s="285">
        <v>5022.66</v>
      </c>
      <c r="J17" s="112"/>
    </row>
    <row r="18" spans="1:13" ht="23.25">
      <c r="A18" s="567" t="s">
        <v>47</v>
      </c>
      <c r="B18" s="568"/>
      <c r="C18" s="568"/>
      <c r="D18" s="568"/>
      <c r="E18" s="111" t="s">
        <v>297</v>
      </c>
      <c r="F18" s="285">
        <v>234681.24</v>
      </c>
      <c r="G18" s="112"/>
      <c r="I18" s="285">
        <f>234681.24+31292.32</f>
        <v>265973.56</v>
      </c>
      <c r="J18" s="112"/>
      <c r="M18" s="99"/>
    </row>
    <row r="19" spans="1:13" ht="23.25">
      <c r="A19" s="567" t="s">
        <v>47</v>
      </c>
      <c r="B19" s="568"/>
      <c r="C19" s="568"/>
      <c r="D19" s="568"/>
      <c r="E19" s="111"/>
      <c r="F19" s="285">
        <v>110000</v>
      </c>
      <c r="G19" s="112"/>
      <c r="I19" s="285">
        <v>110000</v>
      </c>
      <c r="J19" s="112"/>
      <c r="M19" s="99"/>
    </row>
    <row r="20" spans="1:13" ht="23.25">
      <c r="A20" s="567" t="s">
        <v>41</v>
      </c>
      <c r="B20" s="568"/>
      <c r="C20" s="568"/>
      <c r="D20" s="568"/>
      <c r="E20" s="111" t="s">
        <v>298</v>
      </c>
      <c r="F20" s="285">
        <v>1163003.58</v>
      </c>
      <c r="G20" s="112"/>
      <c r="I20" s="285">
        <f>1163003.58+580535</f>
        <v>1743538.58</v>
      </c>
      <c r="J20" s="112"/>
      <c r="M20" s="99"/>
    </row>
    <row r="21" spans="1:13" ht="23.25">
      <c r="A21" s="567" t="s">
        <v>55</v>
      </c>
      <c r="B21" s="568"/>
      <c r="C21" s="568"/>
      <c r="D21" s="568"/>
      <c r="E21" s="111" t="s">
        <v>299</v>
      </c>
      <c r="F21" s="285">
        <v>225990</v>
      </c>
      <c r="G21" s="112"/>
      <c r="I21" s="285">
        <f>225990+108470</f>
        <v>334460</v>
      </c>
      <c r="J21" s="112"/>
      <c r="M21" s="99"/>
    </row>
    <row r="22" spans="1:13" ht="23.25">
      <c r="A22" s="567" t="s">
        <v>55</v>
      </c>
      <c r="B22" s="568"/>
      <c r="C22" s="568"/>
      <c r="D22" s="568"/>
      <c r="E22" s="111" t="s">
        <v>300</v>
      </c>
      <c r="F22" s="285">
        <v>7688.39</v>
      </c>
      <c r="G22" s="112"/>
      <c r="I22" s="285">
        <f>7688.39+2910</f>
        <v>10598.39</v>
      </c>
      <c r="J22" s="112"/>
      <c r="M22" s="99"/>
    </row>
    <row r="23" spans="1:13" ht="23.25">
      <c r="A23" s="567" t="s">
        <v>42</v>
      </c>
      <c r="B23" s="568"/>
      <c r="C23" s="568"/>
      <c r="D23" s="568"/>
      <c r="E23" s="111" t="s">
        <v>301</v>
      </c>
      <c r="F23" s="285">
        <v>66809</v>
      </c>
      <c r="G23" s="112"/>
      <c r="I23" s="285">
        <f>66809+53180</f>
        <v>119989</v>
      </c>
      <c r="J23" s="112"/>
      <c r="M23" s="99"/>
    </row>
    <row r="24" spans="1:13" ht="23.25">
      <c r="A24" s="567" t="s">
        <v>43</v>
      </c>
      <c r="B24" s="568"/>
      <c r="C24" s="568"/>
      <c r="D24" s="568"/>
      <c r="E24" s="111" t="s">
        <v>302</v>
      </c>
      <c r="F24" s="285">
        <v>289605.25</v>
      </c>
      <c r="G24" s="112"/>
      <c r="I24" s="285">
        <f>289605.25+282502.5+1118</f>
        <v>573225.75</v>
      </c>
      <c r="J24" s="112"/>
      <c r="M24" s="99"/>
    </row>
    <row r="25" spans="1:13" ht="23.25">
      <c r="A25" s="567" t="s">
        <v>43</v>
      </c>
      <c r="B25" s="568"/>
      <c r="C25" s="568"/>
      <c r="D25" s="568"/>
      <c r="E25" s="111" t="s">
        <v>303</v>
      </c>
      <c r="F25" s="285">
        <v>101060</v>
      </c>
      <c r="G25" s="112"/>
      <c r="I25" s="285">
        <f>101060+58929.74+82900</f>
        <v>242889.74</v>
      </c>
      <c r="J25" s="112"/>
      <c r="M25" s="99"/>
    </row>
    <row r="26" spans="1:13" ht="23.25">
      <c r="A26" s="567" t="s">
        <v>44</v>
      </c>
      <c r="B26" s="568"/>
      <c r="C26" s="568"/>
      <c r="D26" s="568"/>
      <c r="E26" s="111" t="s">
        <v>304</v>
      </c>
      <c r="F26" s="285">
        <v>28175.88</v>
      </c>
      <c r="G26" s="112"/>
      <c r="I26" s="285">
        <f>28175.88+102403.42</f>
        <v>130579.3</v>
      </c>
      <c r="J26" s="112"/>
      <c r="M26" s="99"/>
    </row>
    <row r="27" spans="1:13" ht="23.25">
      <c r="A27" s="567" t="s">
        <v>44</v>
      </c>
      <c r="B27" s="568"/>
      <c r="C27" s="568"/>
      <c r="D27" s="568"/>
      <c r="E27" s="111"/>
      <c r="F27" s="285">
        <v>0</v>
      </c>
      <c r="G27" s="112"/>
      <c r="I27" s="285">
        <v>60540.48</v>
      </c>
      <c r="J27" s="112"/>
      <c r="M27" s="99"/>
    </row>
    <row r="28" spans="1:13" ht="23.25">
      <c r="A28" s="567" t="s">
        <v>45</v>
      </c>
      <c r="B28" s="568"/>
      <c r="C28" s="568"/>
      <c r="D28" s="568"/>
      <c r="E28" s="111" t="s">
        <v>305</v>
      </c>
      <c r="F28" s="285">
        <v>50550.14</v>
      </c>
      <c r="G28" s="112"/>
      <c r="I28" s="285">
        <f>50550.14+21986.25</f>
        <v>72536.39</v>
      </c>
      <c r="J28" s="112"/>
      <c r="M28" s="99"/>
    </row>
    <row r="29" spans="1:13" ht="23.25">
      <c r="A29" s="567" t="s">
        <v>46</v>
      </c>
      <c r="B29" s="568"/>
      <c r="C29" s="568"/>
      <c r="D29" s="568"/>
      <c r="E29" s="111" t="s">
        <v>306</v>
      </c>
      <c r="F29" s="285">
        <v>1045555</v>
      </c>
      <c r="G29" s="112"/>
      <c r="H29" s="99"/>
      <c r="I29" s="285">
        <f>1045555+108000</f>
        <v>1153555</v>
      </c>
      <c r="J29" s="112"/>
      <c r="M29" s="99"/>
    </row>
    <row r="30" spans="1:13" ht="23.25">
      <c r="A30" s="567" t="s">
        <v>46</v>
      </c>
      <c r="B30" s="568"/>
      <c r="C30" s="568"/>
      <c r="D30" s="568"/>
      <c r="E30" s="111"/>
      <c r="F30" s="285">
        <v>0</v>
      </c>
      <c r="G30" s="112"/>
      <c r="H30" s="99"/>
      <c r="I30" s="285">
        <v>0</v>
      </c>
      <c r="J30" s="112"/>
      <c r="M30" s="99"/>
    </row>
    <row r="31" spans="1:13" ht="23.25">
      <c r="A31" s="567" t="s">
        <v>110</v>
      </c>
      <c r="B31" s="568"/>
      <c r="C31" s="568"/>
      <c r="D31" s="569"/>
      <c r="E31" s="116" t="s">
        <v>307</v>
      </c>
      <c r="F31" s="460">
        <v>6100</v>
      </c>
      <c r="G31" s="112"/>
      <c r="I31" s="460">
        <v>6100</v>
      </c>
      <c r="J31" s="112"/>
      <c r="M31" s="99"/>
    </row>
    <row r="32" spans="1:13" ht="23.25">
      <c r="A32" s="567" t="s">
        <v>110</v>
      </c>
      <c r="B32" s="568"/>
      <c r="C32" s="568"/>
      <c r="D32" s="569"/>
      <c r="E32" s="116"/>
      <c r="F32" s="460">
        <v>0</v>
      </c>
      <c r="G32" s="112"/>
      <c r="I32" s="460">
        <v>59000</v>
      </c>
      <c r="J32" s="112"/>
      <c r="M32" s="99"/>
    </row>
    <row r="33" spans="1:10" ht="23.25">
      <c r="A33" s="109" t="s">
        <v>79</v>
      </c>
      <c r="B33" s="110"/>
      <c r="C33" s="110"/>
      <c r="D33" s="298"/>
      <c r="E33" s="116"/>
      <c r="F33" s="460">
        <v>0</v>
      </c>
      <c r="G33" s="112"/>
      <c r="I33" s="460">
        <f>5100</f>
        <v>5100</v>
      </c>
      <c r="J33" s="112"/>
    </row>
    <row r="34" spans="1:10" ht="23.25">
      <c r="A34" s="109" t="s">
        <v>79</v>
      </c>
      <c r="B34" s="110"/>
      <c r="C34" s="110"/>
      <c r="D34" s="298"/>
      <c r="E34" s="116"/>
      <c r="F34" s="460">
        <v>0</v>
      </c>
      <c r="G34" s="112"/>
      <c r="I34" s="460">
        <v>279000</v>
      </c>
      <c r="J34" s="112"/>
    </row>
    <row r="35" spans="1:10" ht="23.25">
      <c r="A35" s="109" t="s">
        <v>370</v>
      </c>
      <c r="B35" s="110"/>
      <c r="C35" s="110"/>
      <c r="D35" s="298"/>
      <c r="E35" s="116" t="s">
        <v>317</v>
      </c>
      <c r="F35" s="299">
        <v>86000</v>
      </c>
      <c r="G35" s="112"/>
      <c r="I35" s="299">
        <v>30000</v>
      </c>
      <c r="J35" s="112"/>
    </row>
    <row r="36" spans="1:10" ht="23.25">
      <c r="A36" s="117" t="s">
        <v>371</v>
      </c>
      <c r="B36" s="110"/>
      <c r="C36" s="110"/>
      <c r="D36" s="298"/>
      <c r="E36" s="116"/>
      <c r="F36" s="299">
        <v>0</v>
      </c>
      <c r="G36" s="112"/>
      <c r="I36" s="299">
        <v>1181920</v>
      </c>
      <c r="J36" s="112"/>
    </row>
    <row r="37" spans="1:10" ht="23.25">
      <c r="A37" s="117" t="s">
        <v>40</v>
      </c>
      <c r="B37" s="56"/>
      <c r="C37" s="56"/>
      <c r="D37" s="165"/>
      <c r="E37" s="116" t="s">
        <v>308</v>
      </c>
      <c r="F37" s="286">
        <v>77302.52</v>
      </c>
      <c r="G37" s="112"/>
      <c r="I37" s="286">
        <v>77302.52</v>
      </c>
      <c r="J37" s="112"/>
    </row>
    <row r="38" spans="1:10" ht="23.25">
      <c r="A38" s="117" t="s">
        <v>54</v>
      </c>
      <c r="B38" s="56"/>
      <c r="C38" s="56"/>
      <c r="D38" s="165"/>
      <c r="E38" s="116"/>
      <c r="F38" s="286"/>
      <c r="G38" s="112">
        <v>500</v>
      </c>
      <c r="I38" s="286"/>
      <c r="J38" s="112">
        <v>500</v>
      </c>
    </row>
    <row r="39" spans="1:10" ht="23.25">
      <c r="A39" s="109" t="s">
        <v>372</v>
      </c>
      <c r="B39" s="110"/>
      <c r="C39" s="110"/>
      <c r="D39" s="298"/>
      <c r="E39" s="116" t="s">
        <v>309</v>
      </c>
      <c r="F39" s="286"/>
      <c r="G39" s="461">
        <v>8143923.7</v>
      </c>
      <c r="I39" s="286"/>
      <c r="J39" s="461">
        <v>8143923.7</v>
      </c>
    </row>
    <row r="40" spans="1:10" ht="23.25">
      <c r="A40" s="109" t="s">
        <v>104</v>
      </c>
      <c r="B40" s="110"/>
      <c r="C40" s="110"/>
      <c r="D40" s="298"/>
      <c r="E40" s="116" t="s">
        <v>310</v>
      </c>
      <c r="F40" s="286"/>
      <c r="G40" s="461">
        <v>7984179.01</v>
      </c>
      <c r="I40" s="286"/>
      <c r="J40" s="461">
        <v>7984179.01</v>
      </c>
    </row>
    <row r="41" spans="1:10" ht="22.5" customHeight="1">
      <c r="A41" s="117" t="s">
        <v>114</v>
      </c>
      <c r="B41" s="56"/>
      <c r="C41" s="56"/>
      <c r="D41" s="165"/>
      <c r="E41" s="118">
        <v>400000</v>
      </c>
      <c r="F41" s="286"/>
      <c r="G41" s="461">
        <v>3060845.97</v>
      </c>
      <c r="I41" s="286"/>
      <c r="J41" s="461">
        <f>3060845.97+2302976.39</f>
        <v>5363822.36</v>
      </c>
    </row>
    <row r="42" spans="1:10" ht="22.5" customHeight="1">
      <c r="A42" s="117" t="s">
        <v>441</v>
      </c>
      <c r="B42" s="56"/>
      <c r="C42" s="56"/>
      <c r="D42" s="165"/>
      <c r="E42" s="118"/>
      <c r="F42" s="286"/>
      <c r="G42" s="461">
        <v>686200</v>
      </c>
      <c r="I42" s="286"/>
      <c r="J42" s="461">
        <v>686200</v>
      </c>
    </row>
    <row r="43" spans="1:10" ht="23.25">
      <c r="A43" s="117" t="s">
        <v>373</v>
      </c>
      <c r="B43" s="56"/>
      <c r="C43" s="56"/>
      <c r="D43" s="165"/>
      <c r="E43" s="118">
        <v>230100</v>
      </c>
      <c r="F43" s="286"/>
      <c r="G43" s="461">
        <v>1407752.25</v>
      </c>
      <c r="I43" s="286"/>
      <c r="J43" s="461">
        <f>1407752.25+84+767+9208.28+565.5+160007+9289.05-6191.57-3880-2263-13070-4340-239.44-9208.28</f>
        <v>1548480.79</v>
      </c>
    </row>
    <row r="44" spans="1:10" s="14" customFormat="1" ht="23.25">
      <c r="A44" s="117" t="s">
        <v>374</v>
      </c>
      <c r="B44" s="56"/>
      <c r="C44" s="56"/>
      <c r="D44" s="165"/>
      <c r="E44" s="118">
        <v>210500</v>
      </c>
      <c r="F44" s="300"/>
      <c r="G44" s="462">
        <v>1588900</v>
      </c>
      <c r="I44" s="300"/>
      <c r="J44" s="462">
        <f>1588900-1337279.96</f>
        <v>251620.04000000004</v>
      </c>
    </row>
    <row r="45" spans="1:10" ht="24" thickBot="1">
      <c r="A45" s="119"/>
      <c r="B45" s="120"/>
      <c r="C45" s="120"/>
      <c r="D45" s="301"/>
      <c r="E45" s="114"/>
      <c r="F45" s="287">
        <f>SUM(F7:F44)</f>
        <v>22872300.93</v>
      </c>
      <c r="G45" s="463">
        <f>SUM(G38:G44)</f>
        <v>22872300.93</v>
      </c>
      <c r="I45" s="287">
        <f>SUM(I7:I44)</f>
        <v>23977925.9</v>
      </c>
      <c r="J45" s="463">
        <f>SUM(J38:J44)</f>
        <v>23978725.9</v>
      </c>
    </row>
    <row r="46" ht="22.5" thickTop="1"/>
    <row r="47" ht="21.75">
      <c r="F47" s="113"/>
    </row>
    <row r="48" spans="5:10" ht="21.75">
      <c r="E48" s="121"/>
      <c r="F48" s="430"/>
      <c r="G48" s="99"/>
      <c r="J48" s="99">
        <f>I45-J45</f>
        <v>-800</v>
      </c>
    </row>
    <row r="49" ht="21.75"/>
    <row r="50" ht="21.75">
      <c r="G50" s="99"/>
    </row>
    <row r="51" spans="1:7" ht="22.5">
      <c r="A51" s="97"/>
      <c r="B51" s="97"/>
      <c r="C51" s="97"/>
      <c r="D51" s="97"/>
      <c r="E51" s="122"/>
      <c r="F51" s="123"/>
      <c r="G51" s="124"/>
    </row>
    <row r="52" spans="1:7" ht="22.5">
      <c r="A52" s="587"/>
      <c r="B52" s="587"/>
      <c r="C52" s="587"/>
      <c r="D52" s="587"/>
      <c r="E52" s="587"/>
      <c r="F52" s="587"/>
      <c r="G52" s="587"/>
    </row>
    <row r="53" spans="1:7" ht="22.5">
      <c r="A53" s="587"/>
      <c r="B53" s="587"/>
      <c r="C53" s="587"/>
      <c r="D53" s="587"/>
      <c r="E53" s="587"/>
      <c r="F53" s="587"/>
      <c r="G53" s="587"/>
    </row>
    <row r="54" spans="1:7" ht="22.5">
      <c r="A54" s="587"/>
      <c r="B54" s="587"/>
      <c r="C54" s="587"/>
      <c r="D54" s="587"/>
      <c r="E54" s="587"/>
      <c r="F54" s="587"/>
      <c r="G54" s="587"/>
    </row>
    <row r="57" ht="21.75">
      <c r="D57" s="125"/>
    </row>
    <row r="59" ht="21.75">
      <c r="F59" s="13" t="s">
        <v>117</v>
      </c>
    </row>
    <row r="69" spans="1:7" ht="21.75">
      <c r="A69" s="587" t="s">
        <v>133</v>
      </c>
      <c r="B69" s="587"/>
      <c r="C69" s="587"/>
      <c r="D69" s="587"/>
      <c r="E69" s="587"/>
      <c r="F69" s="587"/>
      <c r="G69" s="587"/>
    </row>
    <row r="70" spans="1:7" ht="21.75">
      <c r="A70" s="587" t="s">
        <v>127</v>
      </c>
      <c r="B70" s="587"/>
      <c r="C70" s="587"/>
      <c r="D70" s="587"/>
      <c r="E70" s="587"/>
      <c r="F70" s="587"/>
      <c r="G70" s="587"/>
    </row>
    <row r="71" spans="1:7" ht="21.75">
      <c r="A71" s="587" t="s">
        <v>121</v>
      </c>
      <c r="B71" s="587"/>
      <c r="C71" s="587"/>
      <c r="D71" s="587"/>
      <c r="E71" s="587"/>
      <c r="F71" s="587"/>
      <c r="G71" s="587"/>
    </row>
    <row r="72" ht="21.75"/>
    <row r="73" ht="21.75"/>
    <row r="78" spans="1:7" ht="22.5">
      <c r="A78" s="587" t="s">
        <v>132</v>
      </c>
      <c r="B78" s="587"/>
      <c r="C78" s="587"/>
      <c r="D78" s="587"/>
      <c r="E78" s="587"/>
      <c r="F78" s="587"/>
      <c r="G78" s="587"/>
    </row>
    <row r="79" spans="1:7" ht="22.5">
      <c r="A79" s="587" t="s">
        <v>131</v>
      </c>
      <c r="B79" s="587"/>
      <c r="C79" s="587"/>
      <c r="D79" s="587"/>
      <c r="E79" s="587"/>
      <c r="F79" s="587"/>
      <c r="G79" s="587"/>
    </row>
    <row r="80" spans="1:7" ht="22.5">
      <c r="A80" s="587" t="s">
        <v>126</v>
      </c>
      <c r="B80" s="587"/>
      <c r="C80" s="587"/>
      <c r="D80" s="587"/>
      <c r="E80" s="587"/>
      <c r="F80" s="587"/>
      <c r="G80" s="587"/>
    </row>
  </sheetData>
  <sheetProtection/>
  <mergeCells count="39">
    <mergeCell ref="I5:I6"/>
    <mergeCell ref="J5:J6"/>
    <mergeCell ref="A78:G78"/>
    <mergeCell ref="A79:G79"/>
    <mergeCell ref="A80:G80"/>
    <mergeCell ref="A27:D27"/>
    <mergeCell ref="A32:D32"/>
    <mergeCell ref="A30:D30"/>
    <mergeCell ref="A52:G52"/>
    <mergeCell ref="A53:G53"/>
    <mergeCell ref="A54:G54"/>
    <mergeCell ref="A69:G69"/>
    <mergeCell ref="A70:G70"/>
    <mergeCell ref="A71:G71"/>
    <mergeCell ref="A24:D24"/>
    <mergeCell ref="A25:D25"/>
    <mergeCell ref="A26:D26"/>
    <mergeCell ref="A28:D28"/>
    <mergeCell ref="A29:D29"/>
    <mergeCell ref="A31:D31"/>
    <mergeCell ref="A18:D18"/>
    <mergeCell ref="A19:D19"/>
    <mergeCell ref="A20:D20"/>
    <mergeCell ref="A21:D21"/>
    <mergeCell ref="A22:D22"/>
    <mergeCell ref="A23:D23"/>
    <mergeCell ref="A7:D7"/>
    <mergeCell ref="A9:D9"/>
    <mergeCell ref="A13:D13"/>
    <mergeCell ref="A14:D14"/>
    <mergeCell ref="A15:D15"/>
    <mergeCell ref="A17:D17"/>
    <mergeCell ref="A1:G1"/>
    <mergeCell ref="A2:G2"/>
    <mergeCell ref="A3:G3"/>
    <mergeCell ref="A5:D6"/>
    <mergeCell ref="E5:E6"/>
    <mergeCell ref="F5:F6"/>
    <mergeCell ref="G5:G6"/>
  </mergeCells>
  <printOptions/>
  <pageMargins left="0.984251968503937" right="0.1968503937007874" top="0.2755905511811024" bottom="0.4330708661417323" header="0.15748031496062992" footer="0.2755905511811024"/>
  <pageSetup horizontalDpi="180" verticalDpi="180" orientation="portrait" paperSize="9" scale="8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32"/>
  <sheetViews>
    <sheetView zoomScalePageLayoutView="0" workbookViewId="0" topLeftCell="A13">
      <selection activeCell="E29" sqref="E29"/>
    </sheetView>
  </sheetViews>
  <sheetFormatPr defaultColWidth="9.140625" defaultRowHeight="21.75"/>
  <cols>
    <col min="1" max="1" width="49.28125" style="13" customWidth="1"/>
    <col min="2" max="2" width="11.140625" style="13" customWidth="1"/>
    <col min="3" max="3" width="15.57421875" style="13" customWidth="1"/>
    <col min="4" max="4" width="14.140625" style="13" customWidth="1"/>
    <col min="5" max="16384" width="9.140625" style="13" customWidth="1"/>
  </cols>
  <sheetData>
    <row r="1" spans="1:4" ht="22.5">
      <c r="A1" s="695" t="s">
        <v>389</v>
      </c>
      <c r="B1" s="695"/>
      <c r="C1" s="695"/>
      <c r="D1" s="695"/>
    </row>
    <row r="2" spans="1:4" ht="22.5">
      <c r="A2" s="695" t="s">
        <v>390</v>
      </c>
      <c r="B2" s="695"/>
      <c r="C2" s="695"/>
      <c r="D2" s="695"/>
    </row>
    <row r="3" spans="1:4" ht="22.5">
      <c r="A3" s="696" t="s">
        <v>330</v>
      </c>
      <c r="B3" s="696"/>
      <c r="C3" s="696"/>
      <c r="D3" s="696"/>
    </row>
    <row r="4" spans="1:4" ht="22.5">
      <c r="A4" s="371" t="s">
        <v>322</v>
      </c>
      <c r="B4" s="371"/>
      <c r="C4" s="371"/>
      <c r="D4" s="371"/>
    </row>
    <row r="5" spans="1:4" ht="22.5">
      <c r="A5" s="372" t="s">
        <v>35</v>
      </c>
      <c r="B5" s="373" t="s">
        <v>34</v>
      </c>
      <c r="C5" s="486" t="s">
        <v>323</v>
      </c>
      <c r="D5" s="486" t="s">
        <v>37</v>
      </c>
    </row>
    <row r="6" spans="1:4" ht="23.25">
      <c r="A6" s="459" t="s">
        <v>38</v>
      </c>
      <c r="B6" s="468"/>
      <c r="C6" s="467">
        <v>4455</v>
      </c>
      <c r="D6" s="378"/>
    </row>
    <row r="7" spans="1:4" ht="23.25">
      <c r="A7" s="109" t="s">
        <v>96</v>
      </c>
      <c r="B7" s="469"/>
      <c r="C7" s="306">
        <v>1509.66</v>
      </c>
      <c r="D7" s="385"/>
    </row>
    <row r="8" spans="1:4" ht="23.25">
      <c r="A8" s="109" t="s">
        <v>98</v>
      </c>
      <c r="B8" s="469"/>
      <c r="C8" s="306">
        <v>9615723.26</v>
      </c>
      <c r="D8" s="385"/>
    </row>
    <row r="9" spans="1:4" ht="23.25">
      <c r="A9" s="109" t="s">
        <v>99</v>
      </c>
      <c r="B9" s="469"/>
      <c r="C9" s="306">
        <v>951213.24</v>
      </c>
      <c r="D9" s="385"/>
    </row>
    <row r="10" spans="1:4" ht="23.25">
      <c r="A10" s="109" t="s">
        <v>100</v>
      </c>
      <c r="B10" s="469"/>
      <c r="C10" s="306">
        <v>2978619.83</v>
      </c>
      <c r="D10" s="385"/>
    </row>
    <row r="11" spans="1:4" ht="23.25">
      <c r="A11" s="109" t="s">
        <v>380</v>
      </c>
      <c r="B11" s="469"/>
      <c r="C11" s="306">
        <v>6282085.42</v>
      </c>
      <c r="D11" s="385"/>
    </row>
    <row r="12" spans="1:4" ht="23.25">
      <c r="A12" s="487" t="s">
        <v>399</v>
      </c>
      <c r="B12" s="488"/>
      <c r="C12" s="491">
        <v>4672.66</v>
      </c>
      <c r="D12" s="488"/>
    </row>
    <row r="13" spans="1:4" ht="23.25">
      <c r="A13" s="109" t="s">
        <v>382</v>
      </c>
      <c r="B13" s="469"/>
      <c r="C13" s="466">
        <v>77302.52</v>
      </c>
      <c r="D13" s="385"/>
    </row>
    <row r="14" spans="1:4" ht="23.25">
      <c r="A14" s="470" t="s">
        <v>383</v>
      </c>
      <c r="B14" s="469"/>
      <c r="C14" s="110"/>
      <c r="D14" s="461">
        <v>320000</v>
      </c>
    </row>
    <row r="15" spans="1:4" ht="23.25">
      <c r="A15" s="470" t="s">
        <v>384</v>
      </c>
      <c r="B15" s="469"/>
      <c r="C15" s="110"/>
      <c r="D15" s="461">
        <v>1588900</v>
      </c>
    </row>
    <row r="16" spans="1:4" ht="23.25">
      <c r="A16" s="470" t="s">
        <v>381</v>
      </c>
      <c r="B16" s="469"/>
      <c r="C16" s="110"/>
      <c r="D16" s="461">
        <v>8571554.04</v>
      </c>
    </row>
    <row r="17" spans="1:4" ht="23.25">
      <c r="A17" s="470" t="s">
        <v>104</v>
      </c>
      <c r="B17" s="469"/>
      <c r="C17" s="110"/>
      <c r="D17" s="461">
        <v>7984179.01</v>
      </c>
    </row>
    <row r="18" spans="1:4" ht="23.25">
      <c r="A18" s="470" t="s">
        <v>385</v>
      </c>
      <c r="B18" s="469"/>
      <c r="C18" s="110"/>
      <c r="D18" s="461">
        <v>1450948.54</v>
      </c>
    </row>
    <row r="19" spans="1:4" ht="22.5">
      <c r="A19" s="388"/>
      <c r="B19" s="389"/>
      <c r="C19" s="489">
        <f>SUM(C6:C18)</f>
        <v>19915581.59</v>
      </c>
      <c r="D19" s="490">
        <f>SUM(D14:D18)</f>
        <v>19915581.589999996</v>
      </c>
    </row>
    <row r="20" spans="1:4" ht="22.5">
      <c r="A20" s="397"/>
      <c r="B20" s="394"/>
      <c r="C20" s="471"/>
      <c r="D20" s="473"/>
    </row>
    <row r="21" spans="1:4" ht="22.5">
      <c r="A21" s="393" t="s">
        <v>331</v>
      </c>
      <c r="B21" s="394"/>
      <c r="C21" s="395"/>
      <c r="D21" s="474"/>
    </row>
    <row r="22" spans="1:6" ht="22.5">
      <c r="A22" s="692" t="s">
        <v>388</v>
      </c>
      <c r="B22" s="693"/>
      <c r="C22" s="693"/>
      <c r="D22" s="694"/>
      <c r="E22" s="472"/>
      <c r="F22" s="472"/>
    </row>
    <row r="23" spans="1:4" ht="22.5">
      <c r="A23" s="397"/>
      <c r="B23" s="394"/>
      <c r="C23" s="395"/>
      <c r="D23" s="474"/>
    </row>
    <row r="24" spans="1:4" ht="22.5">
      <c r="A24" s="397"/>
      <c r="B24" s="394"/>
      <c r="C24" s="395"/>
      <c r="D24" s="474"/>
    </row>
    <row r="25" spans="1:4" ht="22.5">
      <c r="A25" s="397"/>
      <c r="B25" s="394"/>
      <c r="C25" s="395"/>
      <c r="D25" s="474"/>
    </row>
    <row r="26" spans="1:4" ht="22.5">
      <c r="A26" s="397" t="s">
        <v>328</v>
      </c>
      <c r="B26" s="395"/>
      <c r="C26" s="395"/>
      <c r="D26" s="379"/>
    </row>
    <row r="27" spans="1:4" ht="22.5">
      <c r="A27" s="397"/>
      <c r="B27" s="395"/>
      <c r="C27" s="395"/>
      <c r="D27" s="379"/>
    </row>
    <row r="28" spans="1:4" ht="22.5">
      <c r="A28" s="397"/>
      <c r="B28" s="395"/>
      <c r="C28" s="395"/>
      <c r="D28" s="379"/>
    </row>
    <row r="29" spans="1:4" ht="22.5">
      <c r="A29" s="397"/>
      <c r="B29" s="395"/>
      <c r="C29" s="395"/>
      <c r="D29" s="379"/>
    </row>
    <row r="30" spans="1:4" ht="22.5">
      <c r="A30" s="397"/>
      <c r="B30" s="395"/>
      <c r="C30" s="395"/>
      <c r="D30" s="379"/>
    </row>
    <row r="31" spans="1:4" ht="22.5">
      <c r="A31" s="397"/>
      <c r="B31" s="395"/>
      <c r="C31" s="395"/>
      <c r="D31" s="379"/>
    </row>
    <row r="32" spans="1:4" ht="22.5">
      <c r="A32" s="388"/>
      <c r="B32" s="401"/>
      <c r="C32" s="401"/>
      <c r="D32" s="402"/>
    </row>
  </sheetData>
  <sheetProtection/>
  <mergeCells count="4">
    <mergeCell ref="A3:D3"/>
    <mergeCell ref="A22:D22"/>
    <mergeCell ref="A1:D1"/>
    <mergeCell ref="A2:D2"/>
  </mergeCells>
  <printOptions/>
  <pageMargins left="0.94" right="0.36" top="0.49" bottom="0.49" header="0.1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L30"/>
  <sheetViews>
    <sheetView zoomScalePageLayoutView="0" workbookViewId="0" topLeftCell="A10">
      <selection activeCell="L20" sqref="L20"/>
    </sheetView>
  </sheetViews>
  <sheetFormatPr defaultColWidth="9.140625" defaultRowHeight="21.75"/>
  <cols>
    <col min="6" max="6" width="13.28125" style="0" customWidth="1"/>
    <col min="9" max="9" width="6.8515625" style="0" customWidth="1"/>
    <col min="10" max="10" width="15.140625" style="0" customWidth="1"/>
    <col min="12" max="12" width="17.421875" style="0" customWidth="1"/>
  </cols>
  <sheetData>
    <row r="1" spans="1:12" s="1" customFormat="1" ht="23.25">
      <c r="A1" s="633" t="s">
        <v>135</v>
      </c>
      <c r="B1" s="634"/>
      <c r="C1" s="634"/>
      <c r="D1" s="634"/>
      <c r="E1" s="634"/>
      <c r="F1" s="634"/>
      <c r="G1" s="634" t="s">
        <v>161</v>
      </c>
      <c r="H1" s="634"/>
      <c r="I1" s="634"/>
      <c r="J1" s="635"/>
      <c r="K1" s="2"/>
      <c r="L1" s="2"/>
    </row>
    <row r="2" spans="1:10" s="1" customFormat="1" ht="23.25">
      <c r="A2" s="636" t="s">
        <v>137</v>
      </c>
      <c r="B2" s="637"/>
      <c r="C2" s="637"/>
      <c r="D2" s="637"/>
      <c r="E2" s="637"/>
      <c r="F2" s="637"/>
      <c r="G2" s="89" t="s">
        <v>162</v>
      </c>
      <c r="H2" s="2"/>
      <c r="I2" s="2"/>
      <c r="J2" s="50"/>
    </row>
    <row r="3" spans="1:10" s="1" customFormat="1" ht="23.25">
      <c r="A3" s="638"/>
      <c r="B3" s="639"/>
      <c r="C3" s="639"/>
      <c r="D3" s="639"/>
      <c r="E3" s="639"/>
      <c r="F3" s="639"/>
      <c r="G3" s="640" t="s">
        <v>163</v>
      </c>
      <c r="H3" s="640"/>
      <c r="I3" s="640"/>
      <c r="J3" s="641"/>
    </row>
    <row r="4" spans="1:10" s="1" customFormat="1" ht="23.25">
      <c r="A4" s="58"/>
      <c r="B4" s="59"/>
      <c r="C4" s="59"/>
      <c r="D4" s="59"/>
      <c r="E4" s="59"/>
      <c r="F4" s="59"/>
      <c r="G4" s="642" t="s">
        <v>53</v>
      </c>
      <c r="H4" s="643"/>
      <c r="I4" s="643"/>
      <c r="J4" s="644"/>
    </row>
    <row r="5" spans="1:12" s="1" customFormat="1" ht="23.25">
      <c r="A5" s="5" t="s">
        <v>567</v>
      </c>
      <c r="B5" s="2"/>
      <c r="C5" s="2"/>
      <c r="D5" s="2"/>
      <c r="E5" s="2"/>
      <c r="F5" s="50"/>
      <c r="G5" s="645">
        <v>1996070.23</v>
      </c>
      <c r="H5" s="646"/>
      <c r="I5" s="646"/>
      <c r="J5" s="647"/>
      <c r="L5" s="533">
        <f>G5-งบทดลอง1!F9</f>
        <v>1980557.92</v>
      </c>
    </row>
    <row r="6" spans="1:10" s="1" customFormat="1" ht="23.25">
      <c r="A6" s="5" t="s">
        <v>139</v>
      </c>
      <c r="B6" s="625"/>
      <c r="C6" s="626"/>
      <c r="D6" s="626"/>
      <c r="E6" s="626"/>
      <c r="F6" s="627"/>
      <c r="G6" s="5"/>
      <c r="H6" s="2"/>
      <c r="I6" s="2"/>
      <c r="J6" s="100"/>
    </row>
    <row r="7" spans="1:10" s="1" customFormat="1" ht="23.25">
      <c r="A7" s="5"/>
      <c r="B7" s="623" t="s">
        <v>35</v>
      </c>
      <c r="C7" s="623"/>
      <c r="D7" s="61" t="s">
        <v>140</v>
      </c>
      <c r="E7" s="62" t="s">
        <v>51</v>
      </c>
      <c r="G7" s="63"/>
      <c r="H7" s="64"/>
      <c r="I7" s="64"/>
      <c r="J7" s="65"/>
    </row>
    <row r="8" spans="1:10" s="1" customFormat="1" ht="23.25">
      <c r="A8" s="8"/>
      <c r="B8" s="624"/>
      <c r="C8" s="624"/>
      <c r="D8" s="2"/>
      <c r="E8" s="7" t="s">
        <v>91</v>
      </c>
      <c r="F8" s="66" t="s">
        <v>91</v>
      </c>
      <c r="G8" s="63"/>
      <c r="H8" s="67"/>
      <c r="I8" s="67"/>
      <c r="J8" s="68"/>
    </row>
    <row r="9" spans="1:10" s="1" customFormat="1" ht="23.25">
      <c r="A9" s="5" t="s">
        <v>141</v>
      </c>
      <c r="B9" s="2"/>
      <c r="C9" s="2"/>
      <c r="D9" s="2"/>
      <c r="E9" s="2"/>
      <c r="F9" s="50"/>
      <c r="G9" s="628"/>
      <c r="H9" s="629"/>
      <c r="I9" s="629"/>
      <c r="J9" s="630"/>
    </row>
    <row r="10" spans="1:10" s="1" customFormat="1" ht="23.25">
      <c r="A10" s="5"/>
      <c r="B10" s="623" t="s">
        <v>164</v>
      </c>
      <c r="C10" s="623"/>
      <c r="D10" s="2"/>
      <c r="E10" s="61" t="s">
        <v>140</v>
      </c>
      <c r="F10" s="62" t="s">
        <v>51</v>
      </c>
      <c r="G10" s="9"/>
      <c r="H10" s="4"/>
      <c r="I10" s="4"/>
      <c r="J10" s="70"/>
    </row>
    <row r="11" spans="1:10" s="1" customFormat="1" ht="23.25">
      <c r="A11" s="632" t="s">
        <v>283</v>
      </c>
      <c r="B11" s="626"/>
      <c r="C11" s="626"/>
      <c r="D11" s="626"/>
      <c r="E11" s="626"/>
      <c r="F11" s="627"/>
      <c r="G11" s="8"/>
      <c r="H11" s="10"/>
      <c r="I11" s="10"/>
      <c r="J11" s="280">
        <v>1980557.92</v>
      </c>
    </row>
    <row r="12" spans="1:10" s="1" customFormat="1" ht="23.25">
      <c r="A12" s="8"/>
      <c r="B12" s="619" t="s">
        <v>145</v>
      </c>
      <c r="C12" s="631"/>
      <c r="D12" s="2"/>
      <c r="E12" s="71" t="s">
        <v>146</v>
      </c>
      <c r="F12" s="72">
        <v>500</v>
      </c>
      <c r="G12" s="63"/>
      <c r="H12" s="67"/>
      <c r="I12" s="67"/>
      <c r="J12" s="73"/>
    </row>
    <row r="13" spans="1:10" s="1" customFormat="1" ht="23.25">
      <c r="A13" s="8"/>
      <c r="B13" s="619" t="s">
        <v>147</v>
      </c>
      <c r="C13" s="620"/>
      <c r="D13" s="2"/>
      <c r="E13" s="71" t="s">
        <v>148</v>
      </c>
      <c r="F13" s="72">
        <v>300</v>
      </c>
      <c r="G13" s="8"/>
      <c r="H13" s="10"/>
      <c r="I13" s="10"/>
      <c r="J13" s="11"/>
    </row>
    <row r="14" spans="1:10" s="1" customFormat="1" ht="23.25">
      <c r="A14" s="8"/>
      <c r="B14" s="619" t="s">
        <v>149</v>
      </c>
      <c r="C14" s="620"/>
      <c r="D14" s="2"/>
      <c r="E14" s="71" t="s">
        <v>150</v>
      </c>
      <c r="F14" s="72">
        <v>391.82</v>
      </c>
      <c r="G14" s="8"/>
      <c r="H14" s="10"/>
      <c r="I14" s="10"/>
      <c r="J14" s="68"/>
    </row>
    <row r="15" spans="1:10" s="1" customFormat="1" ht="23.25">
      <c r="A15" s="5"/>
      <c r="B15" s="619" t="s">
        <v>149</v>
      </c>
      <c r="C15" s="620"/>
      <c r="E15" s="71" t="s">
        <v>151</v>
      </c>
      <c r="F15" s="74">
        <v>2282.19</v>
      </c>
      <c r="J15" s="50"/>
    </row>
    <row r="16" spans="1:10" s="1" customFormat="1" ht="23.25">
      <c r="A16" s="5"/>
      <c r="B16" s="619" t="s">
        <v>152</v>
      </c>
      <c r="C16" s="620"/>
      <c r="E16" s="71" t="s">
        <v>153</v>
      </c>
      <c r="F16" s="74">
        <v>1060</v>
      </c>
      <c r="J16" s="50"/>
    </row>
    <row r="17" spans="1:10" s="1" customFormat="1" ht="23.25">
      <c r="A17" s="8"/>
      <c r="B17" s="619" t="s">
        <v>152</v>
      </c>
      <c r="C17" s="620"/>
      <c r="D17" s="2"/>
      <c r="E17" s="71" t="s">
        <v>154</v>
      </c>
      <c r="F17" s="72">
        <v>4950</v>
      </c>
      <c r="G17" s="63"/>
      <c r="H17" s="67"/>
      <c r="I17" s="67"/>
      <c r="J17" s="73"/>
    </row>
    <row r="18" spans="1:10" s="1" customFormat="1" ht="23.25">
      <c r="A18" s="8"/>
      <c r="B18" s="619" t="s">
        <v>155</v>
      </c>
      <c r="C18" s="620"/>
      <c r="D18" s="2"/>
      <c r="E18" s="71" t="s">
        <v>156</v>
      </c>
      <c r="F18" s="72">
        <v>2000</v>
      </c>
      <c r="G18" s="63"/>
      <c r="H18" s="67"/>
      <c r="I18" s="67"/>
      <c r="J18" s="73"/>
    </row>
    <row r="19" spans="1:10" s="1" customFormat="1" ht="23.25">
      <c r="A19" s="8"/>
      <c r="B19" s="621"/>
      <c r="C19" s="622"/>
      <c r="D19" s="2"/>
      <c r="E19" s="7"/>
      <c r="F19" s="12"/>
      <c r="G19" s="60"/>
      <c r="H19" s="75"/>
      <c r="I19" s="75"/>
      <c r="J19" s="68"/>
    </row>
    <row r="20" spans="1:10" s="1" customFormat="1" ht="23.25">
      <c r="A20" s="8"/>
      <c r="B20" s="621"/>
      <c r="C20" s="622"/>
      <c r="D20" s="2"/>
      <c r="E20" s="7"/>
      <c r="F20" s="12"/>
      <c r="G20" s="60"/>
      <c r="H20" s="75"/>
      <c r="I20" s="75"/>
      <c r="J20" s="68"/>
    </row>
    <row r="21" spans="1:10" s="1" customFormat="1" ht="23.25">
      <c r="A21" s="5" t="s">
        <v>338</v>
      </c>
      <c r="B21" s="2"/>
      <c r="C21" s="2"/>
      <c r="D21" s="2"/>
      <c r="E21" s="10"/>
      <c r="F21" s="50"/>
      <c r="G21" s="63"/>
      <c r="H21" s="67"/>
      <c r="I21" s="67"/>
      <c r="J21" s="68"/>
    </row>
    <row r="22" spans="1:10" s="1" customFormat="1" ht="23.25">
      <c r="A22" s="76"/>
      <c r="B22" s="77"/>
      <c r="C22" s="7"/>
      <c r="D22" s="2"/>
      <c r="E22" s="2"/>
      <c r="F22" s="12"/>
      <c r="G22" s="63"/>
      <c r="H22" s="67"/>
      <c r="I22" s="67"/>
      <c r="J22" s="68"/>
    </row>
    <row r="23" spans="1:10" s="1" customFormat="1" ht="23.25">
      <c r="A23" s="5"/>
      <c r="B23" s="7" t="s">
        <v>91</v>
      </c>
      <c r="C23" s="7"/>
      <c r="D23" s="2"/>
      <c r="E23" s="2"/>
      <c r="F23" s="12"/>
      <c r="G23" s="63"/>
      <c r="H23" s="67"/>
      <c r="I23" s="67"/>
      <c r="J23" s="73"/>
    </row>
    <row r="24" spans="1:12" s="1" customFormat="1" ht="23.25">
      <c r="A24" s="6" t="s">
        <v>568</v>
      </c>
      <c r="B24" s="3"/>
      <c r="C24" s="3"/>
      <c r="D24" s="3"/>
      <c r="E24" s="3"/>
      <c r="F24" s="78"/>
      <c r="G24" s="616">
        <f>G5-J11-J21</f>
        <v>15512.310000000056</v>
      </c>
      <c r="H24" s="617"/>
      <c r="I24" s="617"/>
      <c r="J24" s="618"/>
      <c r="L24" s="98">
        <f>G24-งบทดลอง1!F9</f>
        <v>5.638867150992155E-11</v>
      </c>
    </row>
    <row r="25" spans="1:12" s="1" customFormat="1" ht="23.25">
      <c r="A25" s="79"/>
      <c r="B25" s="80"/>
      <c r="C25" s="80"/>
      <c r="D25" s="80"/>
      <c r="E25" s="80"/>
      <c r="F25" s="81"/>
      <c r="G25" s="82"/>
      <c r="H25" s="83"/>
      <c r="I25" s="83"/>
      <c r="J25" s="84"/>
      <c r="K25" s="2"/>
      <c r="L25" s="2"/>
    </row>
    <row r="26" spans="1:12" s="1" customFormat="1" ht="23.25">
      <c r="A26" s="85" t="s">
        <v>492</v>
      </c>
      <c r="B26" s="86"/>
      <c r="C26" s="86"/>
      <c r="D26" s="86"/>
      <c r="E26" s="2"/>
      <c r="F26" s="86"/>
      <c r="G26" s="86"/>
      <c r="H26" s="86"/>
      <c r="I26" s="86"/>
      <c r="J26" s="87"/>
      <c r="K26" s="2"/>
      <c r="L26" s="2"/>
    </row>
    <row r="27" spans="1:12" s="1" customFormat="1" ht="23.25">
      <c r="A27" s="9" t="s">
        <v>493</v>
      </c>
      <c r="B27" s="4"/>
      <c r="C27" s="4"/>
      <c r="D27" s="4"/>
      <c r="E27" s="86"/>
      <c r="F27" s="4"/>
      <c r="G27" s="4"/>
      <c r="H27" s="4"/>
      <c r="I27" s="4"/>
      <c r="J27" s="53"/>
      <c r="K27" s="2"/>
      <c r="L27" s="2"/>
    </row>
    <row r="28" spans="1:12" s="1" customFormat="1" ht="23.25">
      <c r="A28" s="9" t="s">
        <v>494</v>
      </c>
      <c r="B28" s="4"/>
      <c r="C28" s="4"/>
      <c r="D28" s="4"/>
      <c r="E28" s="4"/>
      <c r="F28" s="4"/>
      <c r="G28" s="4"/>
      <c r="H28" s="4"/>
      <c r="I28" s="4"/>
      <c r="J28" s="53"/>
      <c r="K28" s="4"/>
      <c r="L28" s="4"/>
    </row>
    <row r="29" spans="1:12" s="1" customFormat="1" ht="23.25">
      <c r="A29" s="9" t="s">
        <v>495</v>
      </c>
      <c r="B29" s="4"/>
      <c r="C29" s="4"/>
      <c r="D29" s="4"/>
      <c r="E29" s="4"/>
      <c r="F29" s="4"/>
      <c r="G29" s="4"/>
      <c r="H29" s="4"/>
      <c r="I29" s="4"/>
      <c r="J29" s="53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8"/>
      <c r="K30" s="2"/>
      <c r="L30" s="2"/>
    </row>
    <row r="31" s="1" customFormat="1" ht="23.25"/>
  </sheetData>
  <sheetProtection/>
  <mergeCells count="22">
    <mergeCell ref="A1:F1"/>
    <mergeCell ref="G1:J1"/>
    <mergeCell ref="A2:F3"/>
    <mergeCell ref="G3:J3"/>
    <mergeCell ref="G4:J4"/>
    <mergeCell ref="G5:J5"/>
    <mergeCell ref="B7:C7"/>
    <mergeCell ref="B8:C8"/>
    <mergeCell ref="B6:F6"/>
    <mergeCell ref="G9:J9"/>
    <mergeCell ref="B10:C10"/>
    <mergeCell ref="B12:C12"/>
    <mergeCell ref="A11:F11"/>
    <mergeCell ref="G24:J24"/>
    <mergeCell ref="B17:C17"/>
    <mergeCell ref="B18:C18"/>
    <mergeCell ref="B13:C13"/>
    <mergeCell ref="B14:C14"/>
    <mergeCell ref="B15:C15"/>
    <mergeCell ref="B16:C16"/>
    <mergeCell ref="B19:C19"/>
    <mergeCell ref="B20:C20"/>
  </mergeCells>
  <printOptions/>
  <pageMargins left="0.75" right="0.27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28"/>
  <sheetViews>
    <sheetView zoomScalePageLayoutView="0" workbookViewId="0" topLeftCell="A10">
      <selection activeCell="G6" sqref="G6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  <col min="12" max="12" width="13.8515625" style="0" customWidth="1"/>
  </cols>
  <sheetData>
    <row r="1" spans="1:12" s="1" customFormat="1" ht="23.25">
      <c r="A1" s="633" t="s">
        <v>135</v>
      </c>
      <c r="B1" s="634"/>
      <c r="C1" s="634"/>
      <c r="D1" s="634"/>
      <c r="E1" s="634"/>
      <c r="F1" s="634"/>
      <c r="G1" s="648" t="s">
        <v>136</v>
      </c>
      <c r="H1" s="648"/>
      <c r="I1" s="648"/>
      <c r="J1" s="649"/>
      <c r="K1" s="2"/>
      <c r="L1" s="2"/>
    </row>
    <row r="2" spans="1:10" s="1" customFormat="1" ht="23.25">
      <c r="A2" s="636" t="s">
        <v>137</v>
      </c>
      <c r="B2" s="637"/>
      <c r="C2" s="637"/>
      <c r="D2" s="637"/>
      <c r="E2" s="637"/>
      <c r="F2" s="637"/>
      <c r="G2" s="2"/>
      <c r="H2" s="2"/>
      <c r="I2" s="2"/>
      <c r="J2" s="50"/>
    </row>
    <row r="3" spans="1:10" s="1" customFormat="1" ht="23.25">
      <c r="A3" s="638"/>
      <c r="B3" s="639"/>
      <c r="C3" s="639"/>
      <c r="D3" s="639"/>
      <c r="E3" s="639"/>
      <c r="F3" s="639"/>
      <c r="G3" s="640" t="s">
        <v>138</v>
      </c>
      <c r="H3" s="640"/>
      <c r="I3" s="640"/>
      <c r="J3" s="641"/>
    </row>
    <row r="4" spans="1:10" s="1" customFormat="1" ht="23.25">
      <c r="A4" s="58"/>
      <c r="B4" s="59"/>
      <c r="C4" s="59"/>
      <c r="D4" s="59"/>
      <c r="E4" s="59"/>
      <c r="F4" s="59"/>
      <c r="G4" s="642" t="s">
        <v>53</v>
      </c>
      <c r="H4" s="643"/>
      <c r="I4" s="643"/>
      <c r="J4" s="644"/>
    </row>
    <row r="5" spans="1:10" s="1" customFormat="1" ht="23.25">
      <c r="A5" s="5" t="str">
        <f>'539-6-01276-5'!A5</f>
        <v>ยอดคงเหลือตามรายงานธนาคาร  ณ  วันที่  30  เมษายน 2555</v>
      </c>
      <c r="B5" s="2"/>
      <c r="C5" s="2"/>
      <c r="D5" s="2"/>
      <c r="E5" s="2"/>
      <c r="F5" s="50"/>
      <c r="G5" s="645">
        <v>15640098.37</v>
      </c>
      <c r="H5" s="646"/>
      <c r="I5" s="646"/>
      <c r="J5" s="647"/>
    </row>
    <row r="6" spans="1:10" s="1" customFormat="1" ht="23.25">
      <c r="A6" s="5" t="s">
        <v>139</v>
      </c>
      <c r="B6" s="292" t="s">
        <v>288</v>
      </c>
      <c r="C6" s="289"/>
      <c r="D6" s="289"/>
      <c r="E6" s="289"/>
      <c r="F6" s="290"/>
      <c r="G6" s="291"/>
      <c r="H6" s="2"/>
      <c r="I6" s="2"/>
      <c r="J6" s="100">
        <v>0</v>
      </c>
    </row>
    <row r="7" spans="1:10" s="1" customFormat="1" ht="23.25">
      <c r="A7" s="5"/>
      <c r="B7" s="623" t="s">
        <v>35</v>
      </c>
      <c r="C7" s="623"/>
      <c r="D7" s="61" t="s">
        <v>140</v>
      </c>
      <c r="E7" s="61" t="s">
        <v>51</v>
      </c>
      <c r="G7" s="63"/>
      <c r="H7" s="64"/>
      <c r="I7" s="64"/>
      <c r="J7" s="65"/>
    </row>
    <row r="8" spans="1:10" s="1" customFormat="1" ht="23.25">
      <c r="A8" s="9"/>
      <c r="B8" s="4"/>
      <c r="C8" s="61"/>
      <c r="D8" s="7"/>
      <c r="E8" s="282"/>
      <c r="G8" s="63"/>
      <c r="H8" s="64"/>
      <c r="I8" s="64"/>
      <c r="J8" s="293"/>
    </row>
    <row r="9" spans="1:10" s="1" customFormat="1" ht="23.25">
      <c r="A9" s="8"/>
      <c r="B9" s="624"/>
      <c r="C9" s="624"/>
      <c r="D9" s="2"/>
      <c r="E9" s="7"/>
      <c r="F9" s="66"/>
      <c r="G9" s="63"/>
      <c r="H9" s="67"/>
      <c r="I9" s="67"/>
      <c r="J9" s="68"/>
    </row>
    <row r="10" spans="1:10" s="1" customFormat="1" ht="23.25">
      <c r="A10" s="5" t="s">
        <v>141</v>
      </c>
      <c r="B10" s="2"/>
      <c r="C10" s="2"/>
      <c r="D10" s="2"/>
      <c r="E10" s="2"/>
      <c r="F10" s="50"/>
      <c r="G10" s="628"/>
      <c r="H10" s="629"/>
      <c r="I10" s="629"/>
      <c r="J10" s="630"/>
    </row>
    <row r="11" spans="1:10" s="1" customFormat="1" ht="23.25">
      <c r="A11" s="5"/>
      <c r="B11" s="650" t="s">
        <v>142</v>
      </c>
      <c r="C11" s="650"/>
      <c r="D11" s="69" t="s">
        <v>140</v>
      </c>
      <c r="E11" s="69" t="s">
        <v>51</v>
      </c>
      <c r="G11" s="9"/>
      <c r="H11" s="4"/>
      <c r="I11" s="4"/>
      <c r="J11" s="70">
        <f>รายละเอียด!C11</f>
        <v>727074.1</v>
      </c>
    </row>
    <row r="12" spans="1:10" s="1" customFormat="1" ht="23.25">
      <c r="A12" s="8"/>
      <c r="B12" s="619" t="s">
        <v>143</v>
      </c>
      <c r="C12" s="620"/>
      <c r="D12" s="2"/>
      <c r="E12" s="71" t="s">
        <v>144</v>
      </c>
      <c r="F12" s="72">
        <v>4950</v>
      </c>
      <c r="G12" s="8"/>
      <c r="H12" s="10"/>
      <c r="I12" s="10"/>
      <c r="J12" s="11"/>
    </row>
    <row r="13" spans="1:10" s="1" customFormat="1" ht="23.25">
      <c r="A13" s="8"/>
      <c r="B13" s="619" t="s">
        <v>145</v>
      </c>
      <c r="C13" s="631"/>
      <c r="D13" s="2"/>
      <c r="E13" s="71" t="s">
        <v>146</v>
      </c>
      <c r="F13" s="72">
        <v>500</v>
      </c>
      <c r="G13" s="63"/>
      <c r="H13" s="67"/>
      <c r="I13" s="67"/>
      <c r="J13" s="73"/>
    </row>
    <row r="14" spans="1:10" s="1" customFormat="1" ht="23.25">
      <c r="A14" s="8"/>
      <c r="B14" s="619" t="s">
        <v>147</v>
      </c>
      <c r="C14" s="620"/>
      <c r="D14" s="2"/>
      <c r="E14" s="71" t="s">
        <v>148</v>
      </c>
      <c r="F14" s="72">
        <v>300</v>
      </c>
      <c r="G14" s="8"/>
      <c r="H14" s="10"/>
      <c r="I14" s="10"/>
      <c r="J14" s="11"/>
    </row>
    <row r="15" spans="1:10" s="1" customFormat="1" ht="23.25">
      <c r="A15" s="8"/>
      <c r="B15" s="619" t="s">
        <v>152</v>
      </c>
      <c r="C15" s="620"/>
      <c r="D15" s="2"/>
      <c r="E15" s="71" t="s">
        <v>154</v>
      </c>
      <c r="F15" s="72">
        <v>4950</v>
      </c>
      <c r="G15" s="63"/>
      <c r="H15" s="67"/>
      <c r="I15" s="67"/>
      <c r="J15" s="73"/>
    </row>
    <row r="16" spans="1:10" s="1" customFormat="1" ht="23.25">
      <c r="A16" s="8"/>
      <c r="B16" s="619" t="s">
        <v>155</v>
      </c>
      <c r="C16" s="620"/>
      <c r="D16" s="2"/>
      <c r="E16" s="71" t="s">
        <v>156</v>
      </c>
      <c r="F16" s="72">
        <v>2000</v>
      </c>
      <c r="G16" s="63"/>
      <c r="H16" s="67"/>
      <c r="I16" s="67"/>
      <c r="J16" s="73"/>
    </row>
    <row r="17" spans="1:10" s="1" customFormat="1" ht="23.25">
      <c r="A17" s="8"/>
      <c r="B17" s="621"/>
      <c r="C17" s="622"/>
      <c r="D17" s="2"/>
      <c r="E17" s="7"/>
      <c r="F17" s="12"/>
      <c r="G17" s="60"/>
      <c r="H17" s="75"/>
      <c r="I17" s="75"/>
      <c r="J17" s="68"/>
    </row>
    <row r="18" spans="1:10" s="1" customFormat="1" ht="23.25">
      <c r="A18" s="8"/>
      <c r="B18" s="621"/>
      <c r="C18" s="622"/>
      <c r="D18" s="2"/>
      <c r="E18" s="7"/>
      <c r="F18" s="12"/>
      <c r="G18" s="60"/>
      <c r="H18" s="75"/>
      <c r="I18" s="75"/>
      <c r="J18" s="68"/>
    </row>
    <row r="19" spans="1:10" s="1" customFormat="1" ht="23.25">
      <c r="A19" s="5" t="s">
        <v>474</v>
      </c>
      <c r="B19" s="2"/>
      <c r="C19" s="2"/>
      <c r="D19" s="2"/>
      <c r="E19" s="10"/>
      <c r="F19" s="50"/>
      <c r="G19" s="63"/>
      <c r="H19" s="67"/>
      <c r="I19" s="67"/>
      <c r="J19" s="68">
        <f>500+119</f>
        <v>619</v>
      </c>
    </row>
    <row r="20" spans="1:10" s="1" customFormat="1" ht="23.25">
      <c r="A20" s="76"/>
      <c r="B20" s="77"/>
      <c r="C20" s="7"/>
      <c r="D20" s="2"/>
      <c r="E20" s="2"/>
      <c r="F20" s="12"/>
      <c r="G20" s="63"/>
      <c r="H20" s="67"/>
      <c r="I20" s="67"/>
      <c r="J20" s="68"/>
    </row>
    <row r="21" spans="1:10" s="1" customFormat="1" ht="23.25">
      <c r="A21" s="5"/>
      <c r="B21" s="7" t="s">
        <v>91</v>
      </c>
      <c r="C21" s="7"/>
      <c r="D21" s="2"/>
      <c r="E21" s="2"/>
      <c r="F21" s="12"/>
      <c r="G21" s="63"/>
      <c r="H21" s="67"/>
      <c r="I21" s="67"/>
      <c r="J21" s="73"/>
    </row>
    <row r="22" spans="1:12" s="1" customFormat="1" ht="23.25">
      <c r="A22" s="6" t="str">
        <f>'539-6-01276-5'!A24</f>
        <v>ยอดคงเหลือตามบัญชี ณ วันที่   30  เมษายน  2555</v>
      </c>
      <c r="B22" s="3"/>
      <c r="C22" s="3"/>
      <c r="D22" s="3"/>
      <c r="E22" s="3"/>
      <c r="F22" s="78"/>
      <c r="G22" s="616">
        <f>G5+J6-J11-J19</f>
        <v>14912405.27</v>
      </c>
      <c r="H22" s="617"/>
      <c r="I22" s="617"/>
      <c r="J22" s="618"/>
      <c r="K22" s="427">
        <f>G22-งบทดลอง1!$F$13</f>
        <v>0</v>
      </c>
      <c r="L22" s="98">
        <f>G22-งบทดลอง1!F13</f>
        <v>0</v>
      </c>
    </row>
    <row r="23" spans="1:12" s="1" customFormat="1" ht="23.25">
      <c r="A23" s="79"/>
      <c r="B23" s="80"/>
      <c r="C23" s="80"/>
      <c r="D23" s="80"/>
      <c r="E23" s="80"/>
      <c r="F23" s="81"/>
      <c r="G23" s="82"/>
      <c r="H23" s="83"/>
      <c r="I23" s="83"/>
      <c r="J23" s="84"/>
      <c r="K23" s="2"/>
      <c r="L23" s="2"/>
    </row>
    <row r="24" spans="1:12" s="1" customFormat="1" ht="23.25">
      <c r="A24" s="85" t="s">
        <v>158</v>
      </c>
      <c r="B24" s="86"/>
      <c r="C24" s="86"/>
      <c r="D24" s="86"/>
      <c r="E24" s="2"/>
      <c r="F24" s="86"/>
      <c r="G24" s="86"/>
      <c r="H24" s="86"/>
      <c r="I24" s="86"/>
      <c r="J24" s="87"/>
      <c r="K24" s="2"/>
      <c r="L24" s="2"/>
    </row>
    <row r="25" spans="1:12" s="1" customFormat="1" ht="23.25">
      <c r="A25" s="9" t="s">
        <v>159</v>
      </c>
      <c r="B25" s="4"/>
      <c r="C25" s="4"/>
      <c r="D25" s="4"/>
      <c r="E25" s="86"/>
      <c r="F25" s="4"/>
      <c r="G25" s="4"/>
      <c r="H25" s="4"/>
      <c r="I25" s="4"/>
      <c r="J25" s="53"/>
      <c r="K25" s="2"/>
      <c r="L25" s="2"/>
    </row>
    <row r="26" spans="1:12" s="1" customFormat="1" ht="23.25">
      <c r="A26" s="9" t="s">
        <v>160</v>
      </c>
      <c r="B26" s="4"/>
      <c r="C26" s="4"/>
      <c r="D26" s="4"/>
      <c r="E26" s="4"/>
      <c r="F26" s="4"/>
      <c r="G26" s="4"/>
      <c r="H26" s="4"/>
      <c r="I26" s="4"/>
      <c r="J26" s="53"/>
      <c r="K26" s="4"/>
      <c r="L26" s="4"/>
    </row>
    <row r="27" spans="1:12" s="1" customFormat="1" ht="23.25">
      <c r="A27" s="9" t="s">
        <v>396</v>
      </c>
      <c r="B27" s="4"/>
      <c r="C27" s="4"/>
      <c r="D27" s="4"/>
      <c r="E27" s="4"/>
      <c r="F27" s="4"/>
      <c r="G27" s="4"/>
      <c r="H27" s="4"/>
      <c r="I27" s="4"/>
      <c r="J27" s="53"/>
      <c r="K27" s="4"/>
      <c r="L27" s="4"/>
    </row>
    <row r="28" spans="1:12" s="1" customFormat="1" ht="23.25">
      <c r="A28" s="6"/>
      <c r="B28" s="3"/>
      <c r="C28" s="3"/>
      <c r="D28" s="3"/>
      <c r="E28" s="3"/>
      <c r="F28" s="3"/>
      <c r="G28" s="3"/>
      <c r="H28" s="3"/>
      <c r="I28" s="3"/>
      <c r="J28" s="88"/>
      <c r="K28" s="2"/>
      <c r="L28" s="2"/>
    </row>
    <row r="29" s="1" customFormat="1" ht="23.25"/>
  </sheetData>
  <sheetProtection/>
  <mergeCells count="18">
    <mergeCell ref="B14:C14"/>
    <mergeCell ref="B17:C17"/>
    <mergeCell ref="B18:C18"/>
    <mergeCell ref="G22:J22"/>
    <mergeCell ref="B15:C15"/>
    <mergeCell ref="B16:C16"/>
    <mergeCell ref="B12:C12"/>
    <mergeCell ref="B13:C13"/>
    <mergeCell ref="G4:J4"/>
    <mergeCell ref="G5:J5"/>
    <mergeCell ref="B7:C7"/>
    <mergeCell ref="B9:C9"/>
    <mergeCell ref="A1:F1"/>
    <mergeCell ref="G1:J1"/>
    <mergeCell ref="A2:F3"/>
    <mergeCell ref="G3:J3"/>
    <mergeCell ref="G10:J10"/>
    <mergeCell ref="B11:C11"/>
  </mergeCells>
  <printOptions/>
  <pageMargins left="0.75" right="0.27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G310"/>
  <sheetViews>
    <sheetView zoomScaleSheetLayoutView="100" zoomScalePageLayoutView="0" workbookViewId="0" topLeftCell="A1">
      <selection activeCell="C4" sqref="C4"/>
    </sheetView>
  </sheetViews>
  <sheetFormatPr defaultColWidth="9.140625" defaultRowHeight="21.75"/>
  <cols>
    <col min="1" max="1" width="18.00390625" style="90" customWidth="1"/>
    <col min="2" max="2" width="46.28125" style="90" customWidth="1"/>
    <col min="3" max="3" width="23.421875" style="90" customWidth="1"/>
    <col min="4" max="4" width="12.00390625" style="90" customWidth="1"/>
    <col min="5" max="16384" width="9.140625" style="90" customWidth="1"/>
  </cols>
  <sheetData>
    <row r="1" spans="1:7" ht="24">
      <c r="A1" s="651" t="s">
        <v>166</v>
      </c>
      <c r="B1" s="651"/>
      <c r="C1" s="651"/>
      <c r="D1" s="203"/>
      <c r="E1" s="203"/>
      <c r="F1" s="203"/>
      <c r="G1" s="203"/>
    </row>
    <row r="2" spans="1:3" ht="22.5" customHeight="1">
      <c r="A2" s="7" t="s">
        <v>570</v>
      </c>
      <c r="B2" s="518" t="s">
        <v>579</v>
      </c>
      <c r="C2" s="93">
        <v>12375</v>
      </c>
    </row>
    <row r="3" spans="1:3" ht="22.5" customHeight="1">
      <c r="A3" s="7" t="s">
        <v>571</v>
      </c>
      <c r="B3" s="518" t="s">
        <v>579</v>
      </c>
      <c r="C3" s="93">
        <v>4620</v>
      </c>
    </row>
    <row r="4" spans="1:3" ht="22.5" customHeight="1">
      <c r="A4" s="7" t="s">
        <v>573</v>
      </c>
      <c r="B4" s="518" t="s">
        <v>579</v>
      </c>
      <c r="C4" s="93">
        <v>2000</v>
      </c>
    </row>
    <row r="5" spans="1:3" ht="22.5" customHeight="1">
      <c r="A5" s="7" t="s">
        <v>572</v>
      </c>
      <c r="B5" s="518" t="s">
        <v>580</v>
      </c>
      <c r="C5" s="93">
        <v>601400</v>
      </c>
    </row>
    <row r="6" spans="1:3" ht="22.5" customHeight="1">
      <c r="A6" s="7" t="s">
        <v>574</v>
      </c>
      <c r="B6" s="518" t="s">
        <v>580</v>
      </c>
      <c r="C6" s="93">
        <v>70000</v>
      </c>
    </row>
    <row r="7" spans="1:3" ht="22.5" customHeight="1">
      <c r="A7" s="7" t="s">
        <v>575</v>
      </c>
      <c r="B7" s="518" t="s">
        <v>580</v>
      </c>
      <c r="C7" s="93">
        <v>32000</v>
      </c>
    </row>
    <row r="8" spans="1:3" ht="22.5" customHeight="1">
      <c r="A8" s="7" t="s">
        <v>576</v>
      </c>
      <c r="B8" s="518" t="s">
        <v>580</v>
      </c>
      <c r="C8" s="93">
        <v>1537</v>
      </c>
    </row>
    <row r="9" spans="1:3" ht="22.5" customHeight="1">
      <c r="A9" s="7" t="s">
        <v>577</v>
      </c>
      <c r="B9" s="518" t="s">
        <v>580</v>
      </c>
      <c r="C9" s="93">
        <v>1834.33</v>
      </c>
    </row>
    <row r="10" spans="1:3" ht="22.5" customHeight="1">
      <c r="A10" s="7" t="s">
        <v>578</v>
      </c>
      <c r="B10" s="518" t="s">
        <v>580</v>
      </c>
      <c r="C10" s="93">
        <v>1307.77</v>
      </c>
    </row>
    <row r="11" spans="1:3" ht="32.25" customHeight="1" thickBot="1">
      <c r="A11" s="7"/>
      <c r="B11" s="94" t="s">
        <v>167</v>
      </c>
      <c r="C11" s="91">
        <f>SUM(C2:C10)</f>
        <v>727074.1</v>
      </c>
    </row>
    <row r="12" ht="24.75" thickTop="1">
      <c r="A12" s="7"/>
    </row>
    <row r="13" ht="24">
      <c r="A13" s="7"/>
    </row>
    <row r="14" ht="24">
      <c r="A14" s="7"/>
    </row>
    <row r="15" ht="24">
      <c r="A15" s="7"/>
    </row>
    <row r="16" ht="24">
      <c r="A16" s="7"/>
    </row>
    <row r="17" ht="24">
      <c r="A17" s="7"/>
    </row>
    <row r="18" ht="24">
      <c r="A18" s="7"/>
    </row>
    <row r="19" ht="24">
      <c r="A19" s="7"/>
    </row>
    <row r="20" ht="24">
      <c r="A20" s="7"/>
    </row>
    <row r="21" ht="24">
      <c r="A21" s="7"/>
    </row>
    <row r="22" ht="24">
      <c r="A22" s="7"/>
    </row>
    <row r="23" ht="24">
      <c r="A23" s="7"/>
    </row>
    <row r="24" ht="24">
      <c r="A24" s="7"/>
    </row>
    <row r="25" ht="24">
      <c r="A25" s="7"/>
    </row>
    <row r="26" ht="24">
      <c r="A26" s="7"/>
    </row>
    <row r="27" ht="24">
      <c r="A27" s="7"/>
    </row>
    <row r="28" ht="24">
      <c r="A28" s="7"/>
    </row>
    <row r="29" ht="24">
      <c r="A29" s="7"/>
    </row>
    <row r="30" ht="24">
      <c r="A30" s="7"/>
    </row>
    <row r="31" ht="24">
      <c r="A31" s="7"/>
    </row>
    <row r="32" ht="24">
      <c r="A32" s="7"/>
    </row>
    <row r="33" ht="24">
      <c r="A33" s="7"/>
    </row>
    <row r="34" ht="24">
      <c r="A34" s="7"/>
    </row>
    <row r="35" ht="24">
      <c r="A35" s="7"/>
    </row>
    <row r="36" ht="24">
      <c r="A36" s="7"/>
    </row>
    <row r="37" ht="24">
      <c r="A37" s="7"/>
    </row>
    <row r="38" ht="24">
      <c r="A38" s="7"/>
    </row>
    <row r="39" ht="24">
      <c r="A39" s="7"/>
    </row>
    <row r="40" ht="24">
      <c r="A40" s="7"/>
    </row>
    <row r="41" ht="24">
      <c r="A41" s="7"/>
    </row>
    <row r="42" ht="24">
      <c r="A42" s="7"/>
    </row>
    <row r="43" ht="24">
      <c r="A43" s="7"/>
    </row>
    <row r="44" ht="24">
      <c r="A44" s="7"/>
    </row>
    <row r="45" ht="24">
      <c r="A45" s="7"/>
    </row>
    <row r="46" ht="24">
      <c r="A46" s="7"/>
    </row>
    <row r="47" ht="24">
      <c r="A47" s="7"/>
    </row>
    <row r="48" ht="24">
      <c r="A48" s="7"/>
    </row>
    <row r="49" ht="24">
      <c r="A49" s="7"/>
    </row>
    <row r="50" ht="24">
      <c r="A50" s="7"/>
    </row>
    <row r="51" ht="24">
      <c r="A51" s="7"/>
    </row>
    <row r="52" ht="24">
      <c r="A52" s="7"/>
    </row>
    <row r="53" ht="24">
      <c r="A53" s="7"/>
    </row>
    <row r="54" ht="24">
      <c r="A54" s="7"/>
    </row>
    <row r="55" ht="24">
      <c r="A55" s="7"/>
    </row>
    <row r="56" ht="24">
      <c r="A56" s="7"/>
    </row>
    <row r="57" ht="24">
      <c r="A57" s="7"/>
    </row>
    <row r="58" ht="24">
      <c r="A58" s="7"/>
    </row>
    <row r="59" ht="24">
      <c r="A59" s="7"/>
    </row>
    <row r="60" ht="24">
      <c r="A60" s="7"/>
    </row>
    <row r="61" ht="24">
      <c r="A61" s="7"/>
    </row>
    <row r="62" ht="24">
      <c r="A62" s="7"/>
    </row>
    <row r="63" ht="24">
      <c r="A63" s="7"/>
    </row>
    <row r="64" ht="24">
      <c r="A64" s="7"/>
    </row>
    <row r="65" ht="24">
      <c r="A65" s="7"/>
    </row>
    <row r="66" ht="24">
      <c r="A66" s="7"/>
    </row>
    <row r="67" ht="24">
      <c r="A67" s="7"/>
    </row>
    <row r="68" ht="24">
      <c r="A68" s="7"/>
    </row>
    <row r="69" ht="24">
      <c r="A69" s="7"/>
    </row>
    <row r="70" ht="24">
      <c r="A70" s="7"/>
    </row>
    <row r="71" ht="24">
      <c r="A71" s="7"/>
    </row>
    <row r="72" ht="24">
      <c r="A72" s="7"/>
    </row>
    <row r="73" ht="24">
      <c r="A73" s="7"/>
    </row>
    <row r="74" ht="24">
      <c r="A74" s="7"/>
    </row>
    <row r="75" ht="24">
      <c r="A75" s="7"/>
    </row>
    <row r="76" ht="24">
      <c r="A76" s="7"/>
    </row>
    <row r="77" ht="24">
      <c r="A77" s="7"/>
    </row>
    <row r="78" ht="24">
      <c r="A78" s="7"/>
    </row>
    <row r="79" ht="24">
      <c r="A79" s="7"/>
    </row>
    <row r="80" ht="24">
      <c r="A80" s="7"/>
    </row>
    <row r="81" ht="24">
      <c r="A81" s="7"/>
    </row>
    <row r="82" ht="24">
      <c r="A82" s="7"/>
    </row>
    <row r="83" ht="24">
      <c r="A83" s="7"/>
    </row>
    <row r="84" ht="24">
      <c r="A84" s="7"/>
    </row>
    <row r="85" ht="24">
      <c r="A85" s="7"/>
    </row>
    <row r="86" ht="24">
      <c r="A86" s="7"/>
    </row>
    <row r="87" ht="24">
      <c r="A87" s="7"/>
    </row>
    <row r="88" ht="24">
      <c r="A88" s="7"/>
    </row>
    <row r="89" ht="24">
      <c r="A89" s="7"/>
    </row>
    <row r="90" ht="24">
      <c r="A90" s="7"/>
    </row>
    <row r="91" ht="24">
      <c r="A91" s="7"/>
    </row>
    <row r="92" ht="24">
      <c r="A92" s="7"/>
    </row>
    <row r="93" ht="24">
      <c r="A93" s="7"/>
    </row>
    <row r="94" ht="24">
      <c r="A94" s="7"/>
    </row>
    <row r="95" ht="24">
      <c r="A95" s="7"/>
    </row>
    <row r="96" ht="24">
      <c r="A96" s="7"/>
    </row>
    <row r="97" ht="24">
      <c r="A97" s="7"/>
    </row>
    <row r="98" ht="24">
      <c r="A98" s="7"/>
    </row>
    <row r="99" ht="24">
      <c r="A99" s="7"/>
    </row>
    <row r="100" ht="24">
      <c r="A100" s="7"/>
    </row>
    <row r="101" ht="24">
      <c r="A101" s="7"/>
    </row>
    <row r="102" ht="24">
      <c r="A102" s="7"/>
    </row>
    <row r="103" ht="24">
      <c r="A103" s="7"/>
    </row>
    <row r="104" ht="24">
      <c r="A104" s="7"/>
    </row>
    <row r="105" ht="24">
      <c r="A105" s="7"/>
    </row>
    <row r="106" ht="24">
      <c r="A106" s="7"/>
    </row>
    <row r="107" ht="24">
      <c r="A107" s="7"/>
    </row>
    <row r="108" ht="24">
      <c r="A108" s="7"/>
    </row>
    <row r="109" ht="24">
      <c r="A109" s="7"/>
    </row>
    <row r="110" ht="24">
      <c r="A110" s="7"/>
    </row>
    <row r="111" ht="24">
      <c r="A111" s="7"/>
    </row>
    <row r="112" ht="24">
      <c r="A112" s="7"/>
    </row>
    <row r="113" ht="24">
      <c r="A113" s="7"/>
    </row>
    <row r="114" ht="24">
      <c r="A114" s="7"/>
    </row>
    <row r="115" ht="24">
      <c r="A115" s="7"/>
    </row>
    <row r="116" ht="24">
      <c r="A116" s="7"/>
    </row>
    <row r="117" ht="24">
      <c r="A117" s="7"/>
    </row>
    <row r="118" ht="24">
      <c r="A118" s="7"/>
    </row>
    <row r="119" ht="24">
      <c r="A119" s="7"/>
    </row>
    <row r="120" ht="24">
      <c r="A120" s="7"/>
    </row>
    <row r="121" ht="24">
      <c r="A121" s="7"/>
    </row>
    <row r="122" ht="24">
      <c r="A122" s="7"/>
    </row>
    <row r="123" ht="24">
      <c r="A123" s="7"/>
    </row>
    <row r="124" ht="24">
      <c r="A124" s="7"/>
    </row>
    <row r="125" ht="24">
      <c r="A125" s="7"/>
    </row>
    <row r="126" ht="24">
      <c r="A126" s="7"/>
    </row>
    <row r="127" ht="24">
      <c r="A127" s="7"/>
    </row>
    <row r="128" ht="24">
      <c r="A128" s="7"/>
    </row>
    <row r="129" ht="24">
      <c r="A129" s="7"/>
    </row>
    <row r="130" ht="24">
      <c r="A130" s="7"/>
    </row>
    <row r="131" ht="24">
      <c r="A131" s="7"/>
    </row>
    <row r="132" ht="24">
      <c r="A132" s="7"/>
    </row>
    <row r="133" ht="24">
      <c r="A133" s="7"/>
    </row>
    <row r="134" ht="24">
      <c r="A134" s="7"/>
    </row>
    <row r="135" ht="24">
      <c r="A135" s="7"/>
    </row>
    <row r="136" ht="24">
      <c r="A136" s="7"/>
    </row>
    <row r="137" ht="24">
      <c r="A137" s="7"/>
    </row>
    <row r="138" ht="24">
      <c r="A138" s="7"/>
    </row>
    <row r="139" ht="24">
      <c r="A139" s="7"/>
    </row>
    <row r="140" ht="24">
      <c r="A140" s="7"/>
    </row>
    <row r="141" ht="24">
      <c r="A141" s="7"/>
    </row>
    <row r="142" ht="24">
      <c r="A142" s="7"/>
    </row>
    <row r="143" ht="24">
      <c r="A143" s="7"/>
    </row>
    <row r="144" ht="24">
      <c r="A144" s="7"/>
    </row>
    <row r="145" ht="24">
      <c r="A145" s="7"/>
    </row>
    <row r="146" ht="24">
      <c r="A146" s="7"/>
    </row>
    <row r="147" ht="24">
      <c r="A147" s="7"/>
    </row>
    <row r="148" ht="24">
      <c r="A148" s="7"/>
    </row>
    <row r="149" ht="24">
      <c r="A149" s="7"/>
    </row>
    <row r="150" ht="24">
      <c r="A150" s="7"/>
    </row>
    <row r="151" ht="24">
      <c r="A151" s="7"/>
    </row>
    <row r="152" ht="24">
      <c r="A152" s="7"/>
    </row>
    <row r="153" ht="24">
      <c r="A153" s="7"/>
    </row>
    <row r="154" ht="24">
      <c r="A154" s="7"/>
    </row>
    <row r="155" ht="24">
      <c r="A155" s="7"/>
    </row>
    <row r="156" ht="24">
      <c r="A156" s="7"/>
    </row>
    <row r="157" ht="24">
      <c r="A157" s="7"/>
    </row>
    <row r="158" ht="24">
      <c r="A158" s="7"/>
    </row>
    <row r="159" ht="24">
      <c r="A159" s="7"/>
    </row>
    <row r="160" ht="24">
      <c r="A160" s="7"/>
    </row>
    <row r="161" ht="24">
      <c r="A161" s="7"/>
    </row>
    <row r="162" ht="24">
      <c r="A162" s="7"/>
    </row>
    <row r="163" ht="24">
      <c r="A163" s="7"/>
    </row>
    <row r="164" ht="24">
      <c r="A164" s="7"/>
    </row>
    <row r="165" ht="24">
      <c r="A165" s="7"/>
    </row>
    <row r="166" ht="24">
      <c r="A166" s="7"/>
    </row>
    <row r="167" ht="24">
      <c r="A167" s="7"/>
    </row>
    <row r="168" ht="24">
      <c r="A168" s="7"/>
    </row>
    <row r="169" ht="24">
      <c r="A169" s="7"/>
    </row>
    <row r="170" ht="24">
      <c r="A170" s="7"/>
    </row>
    <row r="171" ht="24">
      <c r="A171" s="7"/>
    </row>
    <row r="172" ht="24">
      <c r="A172" s="7"/>
    </row>
    <row r="173" ht="24">
      <c r="A173" s="7"/>
    </row>
    <row r="174" ht="24">
      <c r="A174" s="7"/>
    </row>
    <row r="175" ht="24">
      <c r="A175" s="7"/>
    </row>
    <row r="176" ht="24">
      <c r="A176" s="7"/>
    </row>
    <row r="177" ht="24">
      <c r="A177" s="7"/>
    </row>
    <row r="178" ht="24">
      <c r="A178" s="7"/>
    </row>
    <row r="179" ht="24">
      <c r="A179" s="7"/>
    </row>
    <row r="180" ht="24">
      <c r="A180" s="7"/>
    </row>
    <row r="181" ht="24">
      <c r="A181" s="7"/>
    </row>
    <row r="182" ht="24">
      <c r="A182" s="7"/>
    </row>
    <row r="183" ht="24">
      <c r="A183" s="7"/>
    </row>
    <row r="184" ht="24">
      <c r="A184" s="7"/>
    </row>
    <row r="185" ht="24">
      <c r="A185" s="7"/>
    </row>
    <row r="186" ht="24">
      <c r="A186" s="7"/>
    </row>
    <row r="187" ht="24">
      <c r="A187" s="7"/>
    </row>
    <row r="188" ht="24">
      <c r="A188" s="7"/>
    </row>
    <row r="189" ht="24">
      <c r="A189" s="7"/>
    </row>
    <row r="190" ht="24">
      <c r="A190" s="7"/>
    </row>
    <row r="191" ht="24">
      <c r="A191" s="7"/>
    </row>
    <row r="192" ht="24">
      <c r="A192" s="7"/>
    </row>
    <row r="193" ht="24">
      <c r="A193" s="7"/>
    </row>
    <row r="194" ht="24">
      <c r="A194" s="7"/>
    </row>
    <row r="195" ht="24">
      <c r="A195" s="7"/>
    </row>
    <row r="196" ht="24">
      <c r="A196" s="7"/>
    </row>
    <row r="197" ht="24">
      <c r="A197" s="7"/>
    </row>
    <row r="198" ht="24">
      <c r="A198" s="7"/>
    </row>
    <row r="199" ht="24">
      <c r="A199" s="7"/>
    </row>
    <row r="200" ht="24">
      <c r="A200" s="7"/>
    </row>
    <row r="201" ht="24">
      <c r="A201" s="7"/>
    </row>
    <row r="202" ht="24">
      <c r="A202" s="7"/>
    </row>
    <row r="203" ht="24">
      <c r="A203" s="7"/>
    </row>
    <row r="204" ht="24">
      <c r="A204" s="7"/>
    </row>
    <row r="205" ht="24">
      <c r="A205" s="7"/>
    </row>
    <row r="206" ht="24">
      <c r="A206" s="7"/>
    </row>
    <row r="207" ht="24">
      <c r="A207" s="7"/>
    </row>
    <row r="208" ht="24">
      <c r="A208" s="7"/>
    </row>
    <row r="209" ht="24">
      <c r="A209" s="7"/>
    </row>
    <row r="210" ht="24">
      <c r="A210" s="7"/>
    </row>
    <row r="211" ht="24">
      <c r="A211" s="7"/>
    </row>
    <row r="212" ht="24">
      <c r="A212" s="7"/>
    </row>
    <row r="213" ht="24">
      <c r="A213" s="7"/>
    </row>
    <row r="214" ht="24">
      <c r="A214" s="7"/>
    </row>
    <row r="215" ht="24">
      <c r="A215" s="7"/>
    </row>
    <row r="216" ht="24">
      <c r="A216" s="7"/>
    </row>
    <row r="217" ht="24">
      <c r="A217" s="7"/>
    </row>
    <row r="218" ht="24">
      <c r="A218" s="7"/>
    </row>
    <row r="219" ht="24">
      <c r="A219" s="7"/>
    </row>
    <row r="220" ht="24">
      <c r="A220" s="7"/>
    </row>
    <row r="221" ht="24">
      <c r="A221" s="7"/>
    </row>
    <row r="222" ht="24">
      <c r="A222" s="7"/>
    </row>
    <row r="223" ht="24">
      <c r="A223" s="7"/>
    </row>
    <row r="224" ht="24">
      <c r="A224" s="7"/>
    </row>
    <row r="225" ht="24">
      <c r="A225" s="7"/>
    </row>
    <row r="226" ht="24">
      <c r="A226" s="7"/>
    </row>
    <row r="227" ht="24">
      <c r="A227" s="7"/>
    </row>
    <row r="228" ht="24">
      <c r="A228" s="7"/>
    </row>
    <row r="229" ht="24">
      <c r="A229" s="7"/>
    </row>
    <row r="230" ht="24">
      <c r="A230" s="7"/>
    </row>
    <row r="231" ht="24">
      <c r="A231" s="7"/>
    </row>
    <row r="232" ht="24">
      <c r="A232" s="7"/>
    </row>
    <row r="233" ht="24">
      <c r="A233" s="7"/>
    </row>
    <row r="234" ht="24">
      <c r="A234" s="7"/>
    </row>
    <row r="235" ht="24">
      <c r="A235" s="7"/>
    </row>
    <row r="236" ht="24">
      <c r="A236" s="7"/>
    </row>
    <row r="237" ht="24">
      <c r="A237" s="7"/>
    </row>
    <row r="238" ht="24">
      <c r="A238" s="7"/>
    </row>
    <row r="239" ht="24">
      <c r="A239" s="7"/>
    </row>
    <row r="240" ht="24">
      <c r="A240" s="7"/>
    </row>
    <row r="241" ht="24">
      <c r="A241" s="7"/>
    </row>
    <row r="242" ht="24">
      <c r="A242" s="7"/>
    </row>
    <row r="243" ht="24">
      <c r="A243" s="7"/>
    </row>
    <row r="244" ht="24">
      <c r="A244" s="7"/>
    </row>
    <row r="245" ht="24">
      <c r="A245" s="7"/>
    </row>
    <row r="246" ht="24">
      <c r="A246" s="7"/>
    </row>
    <row r="247" ht="24">
      <c r="A247" s="7"/>
    </row>
    <row r="248" ht="24">
      <c r="A248" s="7"/>
    </row>
    <row r="249" ht="24">
      <c r="A249" s="7"/>
    </row>
    <row r="250" ht="24">
      <c r="A250" s="7"/>
    </row>
    <row r="251" ht="24">
      <c r="A251" s="7"/>
    </row>
    <row r="252" ht="24">
      <c r="A252" s="7"/>
    </row>
    <row r="253" ht="24">
      <c r="A253" s="7"/>
    </row>
    <row r="254" ht="24">
      <c r="A254" s="7"/>
    </row>
    <row r="255" ht="24">
      <c r="A255" s="7"/>
    </row>
    <row r="256" ht="24">
      <c r="A256" s="7"/>
    </row>
    <row r="257" ht="24">
      <c r="A257" s="7"/>
    </row>
    <row r="258" ht="24">
      <c r="A258" s="7"/>
    </row>
    <row r="259" ht="24">
      <c r="A259" s="7"/>
    </row>
    <row r="260" ht="24">
      <c r="A260" s="7"/>
    </row>
    <row r="261" ht="24">
      <c r="A261" s="7"/>
    </row>
    <row r="262" ht="24">
      <c r="A262" s="7"/>
    </row>
    <row r="263" ht="24">
      <c r="A263" s="7"/>
    </row>
    <row r="264" ht="24">
      <c r="A264" s="7"/>
    </row>
    <row r="265" ht="24">
      <c r="A265" s="7"/>
    </row>
    <row r="266" ht="24">
      <c r="A266" s="7"/>
    </row>
    <row r="267" ht="24">
      <c r="A267" s="7"/>
    </row>
    <row r="268" ht="24">
      <c r="A268" s="7"/>
    </row>
    <row r="269" ht="24">
      <c r="A269" s="7"/>
    </row>
    <row r="270" ht="24">
      <c r="A270" s="7"/>
    </row>
    <row r="271" ht="24">
      <c r="A271" s="7"/>
    </row>
    <row r="272" ht="24">
      <c r="A272" s="7"/>
    </row>
    <row r="273" ht="24">
      <c r="A273" s="7"/>
    </row>
    <row r="274" ht="24">
      <c r="A274" s="7"/>
    </row>
    <row r="275" ht="24">
      <c r="A275" s="7"/>
    </row>
    <row r="276" ht="24">
      <c r="A276" s="7"/>
    </row>
    <row r="277" ht="24">
      <c r="A277" s="7"/>
    </row>
    <row r="278" ht="24">
      <c r="A278" s="7"/>
    </row>
    <row r="279" ht="24">
      <c r="A279" s="7"/>
    </row>
    <row r="280" ht="24">
      <c r="A280" s="7"/>
    </row>
    <row r="281" ht="24">
      <c r="A281" s="7"/>
    </row>
    <row r="282" ht="24">
      <c r="A282" s="7"/>
    </row>
    <row r="283" ht="24">
      <c r="A283" s="7"/>
    </row>
    <row r="284" ht="24">
      <c r="A284" s="7"/>
    </row>
    <row r="285" ht="24">
      <c r="A285" s="7"/>
    </row>
    <row r="286" ht="24">
      <c r="A286" s="7"/>
    </row>
    <row r="287" ht="24">
      <c r="A287" s="7"/>
    </row>
    <row r="288" ht="24">
      <c r="A288" s="7"/>
    </row>
    <row r="289" ht="24">
      <c r="A289" s="7"/>
    </row>
    <row r="290" ht="24">
      <c r="A290" s="7"/>
    </row>
    <row r="291" ht="24">
      <c r="A291" s="7"/>
    </row>
    <row r="292" ht="24">
      <c r="A292" s="7"/>
    </row>
    <row r="293" ht="24">
      <c r="A293" s="7"/>
    </row>
    <row r="294" ht="24">
      <c r="A294" s="7"/>
    </row>
    <row r="295" ht="24">
      <c r="A295" s="7"/>
    </row>
    <row r="296" ht="24">
      <c r="A296" s="7"/>
    </row>
    <row r="297" ht="24">
      <c r="A297" s="7"/>
    </row>
    <row r="298" ht="24">
      <c r="A298" s="7"/>
    </row>
    <row r="299" ht="24">
      <c r="A299" s="7"/>
    </row>
    <row r="300" ht="24">
      <c r="A300" s="7"/>
    </row>
    <row r="301" ht="24">
      <c r="A301" s="7"/>
    </row>
    <row r="302" ht="24">
      <c r="A302" s="7"/>
    </row>
    <row r="303" ht="24">
      <c r="A303" s="7"/>
    </row>
    <row r="304" ht="24">
      <c r="A304" s="7"/>
    </row>
    <row r="305" ht="24">
      <c r="A305" s="7"/>
    </row>
    <row r="306" ht="24">
      <c r="A306" s="7"/>
    </row>
    <row r="307" ht="24">
      <c r="A307" s="7"/>
    </row>
    <row r="308" ht="24">
      <c r="A308" s="7"/>
    </row>
    <row r="309" ht="24">
      <c r="A309" s="7"/>
    </row>
    <row r="310" ht="24">
      <c r="A310" s="7"/>
    </row>
  </sheetData>
  <sheetProtection/>
  <mergeCells count="1">
    <mergeCell ref="A1:C1"/>
  </mergeCells>
  <printOptions/>
  <pageMargins left="1.07" right="0.44" top="1.07" bottom="0.49" header="0.24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L30"/>
  <sheetViews>
    <sheetView zoomScalePageLayoutView="0" workbookViewId="0" topLeftCell="A1">
      <selection activeCell="N12" sqref="N12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  <col min="12" max="12" width="11.28125" style="0" bestFit="1" customWidth="1"/>
  </cols>
  <sheetData>
    <row r="1" spans="1:12" s="1" customFormat="1" ht="23.25">
      <c r="A1" s="633" t="s">
        <v>135</v>
      </c>
      <c r="B1" s="634"/>
      <c r="C1" s="634"/>
      <c r="D1" s="634"/>
      <c r="E1" s="634"/>
      <c r="F1" s="634"/>
      <c r="G1" s="648" t="s">
        <v>136</v>
      </c>
      <c r="H1" s="648"/>
      <c r="I1" s="648"/>
      <c r="J1" s="649"/>
      <c r="K1" s="2"/>
      <c r="L1" s="2"/>
    </row>
    <row r="2" spans="1:10" s="1" customFormat="1" ht="23.25">
      <c r="A2" s="636" t="s">
        <v>137</v>
      </c>
      <c r="B2" s="637"/>
      <c r="C2" s="637"/>
      <c r="D2" s="637"/>
      <c r="E2" s="637"/>
      <c r="F2" s="637"/>
      <c r="G2" s="2"/>
      <c r="H2" s="2"/>
      <c r="I2" s="2"/>
      <c r="J2" s="50"/>
    </row>
    <row r="3" spans="1:10" s="1" customFormat="1" ht="23.25">
      <c r="A3" s="638"/>
      <c r="B3" s="639"/>
      <c r="C3" s="639"/>
      <c r="D3" s="639"/>
      <c r="E3" s="639"/>
      <c r="F3" s="639"/>
      <c r="G3" s="640" t="s">
        <v>318</v>
      </c>
      <c r="H3" s="640"/>
      <c r="I3" s="640"/>
      <c r="J3" s="641"/>
    </row>
    <row r="4" spans="1:10" s="1" customFormat="1" ht="23.25">
      <c r="A4" s="58"/>
      <c r="B4" s="59"/>
      <c r="C4" s="59"/>
      <c r="D4" s="59"/>
      <c r="E4" s="59"/>
      <c r="F4" s="59"/>
      <c r="G4" s="642" t="s">
        <v>53</v>
      </c>
      <c r="H4" s="643"/>
      <c r="I4" s="643"/>
      <c r="J4" s="644"/>
    </row>
    <row r="5" spans="1:10" s="1" customFormat="1" ht="23.25">
      <c r="A5" s="5" t="str">
        <f>'001-2-50657-8'!A5</f>
        <v>ยอดคงเหลือตามรายงานธนาคาร  ณ  วันที่  30  เมษายน 2555</v>
      </c>
      <c r="B5" s="2"/>
      <c r="C5" s="2"/>
      <c r="D5" s="2"/>
      <c r="E5" s="2"/>
      <c r="F5" s="50"/>
      <c r="G5" s="645">
        <v>2935511.56</v>
      </c>
      <c r="H5" s="646"/>
      <c r="I5" s="646"/>
      <c r="J5" s="647"/>
    </row>
    <row r="6" spans="1:10" s="1" customFormat="1" ht="23.25">
      <c r="A6" s="5" t="s">
        <v>139</v>
      </c>
      <c r="B6" s="625" t="s">
        <v>280</v>
      </c>
      <c r="C6" s="626"/>
      <c r="D6" s="626"/>
      <c r="E6" s="626"/>
      <c r="F6" s="627"/>
      <c r="G6" s="5"/>
      <c r="H6" s="2"/>
      <c r="I6" s="2"/>
      <c r="J6" s="100"/>
    </row>
    <row r="7" spans="1:10" s="1" customFormat="1" ht="23.25">
      <c r="A7" s="5"/>
      <c r="B7" s="623" t="s">
        <v>35</v>
      </c>
      <c r="C7" s="623"/>
      <c r="D7" s="61" t="s">
        <v>140</v>
      </c>
      <c r="E7" s="61" t="s">
        <v>51</v>
      </c>
      <c r="G7" s="63"/>
      <c r="H7" s="64"/>
      <c r="I7" s="64"/>
      <c r="J7" s="65"/>
    </row>
    <row r="8" spans="1:10" s="1" customFormat="1" ht="23.25">
      <c r="A8" s="9"/>
      <c r="B8" s="4"/>
      <c r="C8" s="61"/>
      <c r="D8" s="7"/>
      <c r="E8" s="282"/>
      <c r="G8" s="63"/>
      <c r="H8" s="64"/>
      <c r="I8" s="64"/>
      <c r="J8" s="65"/>
    </row>
    <row r="9" spans="1:10" s="1" customFormat="1" ht="23.25">
      <c r="A9" s="5"/>
      <c r="B9" s="4"/>
      <c r="C9" s="61"/>
      <c r="D9" s="7"/>
      <c r="E9" s="282"/>
      <c r="G9" s="63"/>
      <c r="H9" s="64"/>
      <c r="I9" s="64"/>
      <c r="J9" s="283"/>
    </row>
    <row r="10" spans="1:10" s="1" customFormat="1" ht="23.25">
      <c r="A10" s="5"/>
      <c r="B10" s="61"/>
      <c r="C10" s="61"/>
      <c r="D10" s="61"/>
      <c r="E10" s="61"/>
      <c r="G10" s="63"/>
      <c r="H10" s="64"/>
      <c r="I10" s="64"/>
      <c r="J10" s="65"/>
    </row>
    <row r="11" spans="1:10" s="1" customFormat="1" ht="23.25">
      <c r="A11" s="8"/>
      <c r="B11" s="624"/>
      <c r="C11" s="624"/>
      <c r="D11" s="2"/>
      <c r="E11" s="7" t="s">
        <v>91</v>
      </c>
      <c r="F11" s="66" t="s">
        <v>91</v>
      </c>
      <c r="G11" s="63"/>
      <c r="H11" s="67"/>
      <c r="I11" s="67"/>
      <c r="J11" s="68"/>
    </row>
    <row r="12" spans="1:10" s="1" customFormat="1" ht="23.25">
      <c r="A12" s="5" t="s">
        <v>141</v>
      </c>
      <c r="B12" s="2"/>
      <c r="C12" s="2"/>
      <c r="D12" s="2"/>
      <c r="E12" s="2"/>
      <c r="F12" s="50"/>
      <c r="G12" s="628"/>
      <c r="H12" s="629"/>
      <c r="I12" s="629"/>
      <c r="J12" s="630"/>
    </row>
    <row r="13" spans="1:10" s="1" customFormat="1" ht="23.25">
      <c r="A13" s="632" t="s">
        <v>283</v>
      </c>
      <c r="B13" s="626"/>
      <c r="C13" s="626"/>
      <c r="D13" s="626"/>
      <c r="E13" s="626"/>
      <c r="F13" s="627"/>
      <c r="G13" s="9"/>
      <c r="H13" s="4"/>
      <c r="I13" s="4"/>
      <c r="J13" s="70"/>
    </row>
    <row r="14" spans="1:10" s="1" customFormat="1" ht="23.25">
      <c r="A14" s="8"/>
      <c r="B14" s="619" t="s">
        <v>143</v>
      </c>
      <c r="C14" s="620"/>
      <c r="D14" s="2"/>
      <c r="E14" s="71" t="s">
        <v>144</v>
      </c>
      <c r="F14" s="72">
        <v>4950</v>
      </c>
      <c r="G14" s="8"/>
      <c r="H14" s="10"/>
      <c r="I14" s="10"/>
      <c r="J14" s="11"/>
    </row>
    <row r="15" spans="1:10" s="1" customFormat="1" ht="23.25">
      <c r="A15" s="8"/>
      <c r="B15" s="619" t="s">
        <v>145</v>
      </c>
      <c r="C15" s="631"/>
      <c r="D15" s="2"/>
      <c r="E15" s="71" t="s">
        <v>146</v>
      </c>
      <c r="F15" s="72">
        <v>500</v>
      </c>
      <c r="G15" s="63"/>
      <c r="H15" s="67"/>
      <c r="I15" s="67"/>
      <c r="J15" s="73"/>
    </row>
    <row r="16" spans="1:10" s="1" customFormat="1" ht="23.25">
      <c r="A16" s="8"/>
      <c r="B16" s="619" t="s">
        <v>147</v>
      </c>
      <c r="C16" s="620"/>
      <c r="D16" s="2"/>
      <c r="E16" s="71" t="s">
        <v>148</v>
      </c>
      <c r="F16" s="72">
        <v>300</v>
      </c>
      <c r="G16" s="8"/>
      <c r="H16" s="10"/>
      <c r="I16" s="10"/>
      <c r="J16" s="11"/>
    </row>
    <row r="17" spans="1:10" s="1" customFormat="1" ht="23.25">
      <c r="A17" s="8"/>
      <c r="B17" s="619" t="s">
        <v>152</v>
      </c>
      <c r="C17" s="620"/>
      <c r="D17" s="2"/>
      <c r="E17" s="71" t="s">
        <v>154</v>
      </c>
      <c r="F17" s="72">
        <v>4950</v>
      </c>
      <c r="G17" s="63"/>
      <c r="H17" s="67"/>
      <c r="I17" s="67"/>
      <c r="J17" s="73"/>
    </row>
    <row r="18" spans="1:10" s="1" customFormat="1" ht="23.25">
      <c r="A18" s="8"/>
      <c r="B18" s="619" t="s">
        <v>155</v>
      </c>
      <c r="C18" s="620"/>
      <c r="D18" s="2"/>
      <c r="E18" s="71" t="s">
        <v>156</v>
      </c>
      <c r="F18" s="72">
        <v>2000</v>
      </c>
      <c r="G18" s="63"/>
      <c r="H18" s="67"/>
      <c r="I18" s="67"/>
      <c r="J18" s="73"/>
    </row>
    <row r="19" spans="1:10" s="1" customFormat="1" ht="23.25">
      <c r="A19" s="8"/>
      <c r="B19" s="621"/>
      <c r="C19" s="622"/>
      <c r="D19" s="2"/>
      <c r="E19" s="7"/>
      <c r="F19" s="12"/>
      <c r="G19" s="60"/>
      <c r="H19" s="75"/>
      <c r="I19" s="75"/>
      <c r="J19" s="68"/>
    </row>
    <row r="20" spans="1:10" s="1" customFormat="1" ht="23.25">
      <c r="A20" s="8"/>
      <c r="B20" s="621"/>
      <c r="C20" s="622"/>
      <c r="D20" s="2"/>
      <c r="E20" s="7"/>
      <c r="F20" s="12"/>
      <c r="G20" s="60"/>
      <c r="H20" s="75"/>
      <c r="I20" s="75"/>
      <c r="J20" s="68"/>
    </row>
    <row r="21" spans="1:10" s="1" customFormat="1" ht="23.25">
      <c r="A21" s="5" t="s">
        <v>157</v>
      </c>
      <c r="B21" s="2"/>
      <c r="C21" s="2"/>
      <c r="D21" s="2"/>
      <c r="E21" s="10"/>
      <c r="F21" s="50"/>
      <c r="G21" s="63"/>
      <c r="H21" s="67"/>
      <c r="I21" s="67"/>
      <c r="J21" s="68"/>
    </row>
    <row r="22" spans="1:10" s="1" customFormat="1" ht="23.25">
      <c r="A22" s="76"/>
      <c r="B22" s="77" t="s">
        <v>319</v>
      </c>
      <c r="C22" s="7"/>
      <c r="D22" s="2"/>
      <c r="E22" s="2"/>
      <c r="F22" s="12"/>
      <c r="G22" s="63"/>
      <c r="H22" s="67"/>
      <c r="I22" s="67"/>
      <c r="J22" s="68">
        <v>5091.46</v>
      </c>
    </row>
    <row r="23" spans="1:10" s="1" customFormat="1" ht="23.25">
      <c r="A23" s="5"/>
      <c r="B23" s="7" t="s">
        <v>91</v>
      </c>
      <c r="C23" s="7"/>
      <c r="D23" s="2"/>
      <c r="E23" s="2"/>
      <c r="F23" s="12"/>
      <c r="G23" s="63"/>
      <c r="H23" s="67"/>
      <c r="I23" s="67"/>
      <c r="J23" s="73"/>
    </row>
    <row r="24" spans="1:12" s="1" customFormat="1" ht="23.25">
      <c r="A24" s="6" t="str">
        <f>'001-2-50657-8'!A22</f>
        <v>ยอดคงเหลือตามบัญชี ณ วันที่   30  เมษายน  2555</v>
      </c>
      <c r="B24" s="3"/>
      <c r="C24" s="3"/>
      <c r="D24" s="3"/>
      <c r="E24" s="3"/>
      <c r="F24" s="78"/>
      <c r="G24" s="616">
        <f>G5-J22</f>
        <v>2930420.1</v>
      </c>
      <c r="H24" s="617"/>
      <c r="I24" s="617"/>
      <c r="J24" s="618"/>
      <c r="L24" s="98">
        <f>งบทดลอง1!F15-G24</f>
        <v>78060.39000000013</v>
      </c>
    </row>
    <row r="25" spans="1:12" s="1" customFormat="1" ht="23.25">
      <c r="A25" s="79"/>
      <c r="B25" s="80"/>
      <c r="C25" s="80"/>
      <c r="D25" s="80"/>
      <c r="E25" s="80"/>
      <c r="F25" s="81"/>
      <c r="G25" s="82"/>
      <c r="H25" s="83"/>
      <c r="I25" s="83"/>
      <c r="J25" s="84"/>
      <c r="K25" s="2"/>
      <c r="L25" s="2"/>
    </row>
    <row r="26" spans="1:12" s="1" customFormat="1" ht="23.25">
      <c r="A26" s="85" t="s">
        <v>158</v>
      </c>
      <c r="B26" s="86"/>
      <c r="C26" s="86"/>
      <c r="D26" s="86"/>
      <c r="E26" s="2"/>
      <c r="F26" s="86"/>
      <c r="G26" s="86"/>
      <c r="H26" s="86"/>
      <c r="I26" s="86"/>
      <c r="J26" s="87"/>
      <c r="K26" s="2"/>
      <c r="L26" s="2"/>
    </row>
    <row r="27" spans="1:12" s="1" customFormat="1" ht="23.25">
      <c r="A27" s="9" t="s">
        <v>159</v>
      </c>
      <c r="B27" s="4"/>
      <c r="C27" s="4"/>
      <c r="D27" s="4"/>
      <c r="E27" s="86"/>
      <c r="F27" s="4"/>
      <c r="G27" s="4"/>
      <c r="H27" s="4"/>
      <c r="I27" s="4"/>
      <c r="J27" s="53"/>
      <c r="K27" s="2"/>
      <c r="L27" s="2"/>
    </row>
    <row r="28" spans="1:12" s="1" customFormat="1" ht="23.25">
      <c r="A28" s="9" t="s">
        <v>160</v>
      </c>
      <c r="B28" s="4"/>
      <c r="C28" s="4"/>
      <c r="D28" s="4"/>
      <c r="E28" s="4"/>
      <c r="F28" s="4"/>
      <c r="G28" s="4"/>
      <c r="H28" s="4"/>
      <c r="I28" s="4"/>
      <c r="J28" s="53"/>
      <c r="K28" s="4"/>
      <c r="L28" s="4"/>
    </row>
    <row r="29" spans="1:12" s="1" customFormat="1" ht="23.25">
      <c r="A29" s="9" t="s">
        <v>397</v>
      </c>
      <c r="B29" s="4"/>
      <c r="C29" s="4"/>
      <c r="D29" s="4"/>
      <c r="E29" s="4"/>
      <c r="F29" s="4"/>
      <c r="G29" s="4"/>
      <c r="H29" s="4"/>
      <c r="I29" s="4"/>
      <c r="J29" s="53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8"/>
      <c r="K30" s="2"/>
      <c r="L30" s="2"/>
    </row>
    <row r="31" s="1" customFormat="1" ht="23.25"/>
  </sheetData>
  <sheetProtection/>
  <mergeCells count="19">
    <mergeCell ref="B16:C16"/>
    <mergeCell ref="B19:C19"/>
    <mergeCell ref="B20:C20"/>
    <mergeCell ref="G24:J24"/>
    <mergeCell ref="B17:C17"/>
    <mergeCell ref="B18:C18"/>
    <mergeCell ref="B15:C15"/>
    <mergeCell ref="A13:F13"/>
    <mergeCell ref="G4:J4"/>
    <mergeCell ref="G5:J5"/>
    <mergeCell ref="B7:C7"/>
    <mergeCell ref="B11:C11"/>
    <mergeCell ref="B6:F6"/>
    <mergeCell ref="A1:F1"/>
    <mergeCell ref="G1:J1"/>
    <mergeCell ref="A2:F3"/>
    <mergeCell ref="G3:J3"/>
    <mergeCell ref="G12:J12"/>
    <mergeCell ref="B14:C14"/>
  </mergeCells>
  <printOptions/>
  <pageMargins left="0.75" right="0.2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L30"/>
  <sheetViews>
    <sheetView zoomScalePageLayoutView="0" workbookViewId="0" topLeftCell="A13">
      <selection activeCell="M26" sqref="M26"/>
    </sheetView>
  </sheetViews>
  <sheetFormatPr defaultColWidth="9.140625" defaultRowHeight="21.75"/>
  <cols>
    <col min="1" max="1" width="5.57421875" style="0" customWidth="1"/>
    <col min="3" max="3" width="12.57421875" style="0" customWidth="1"/>
    <col min="4" max="4" width="13.00390625" style="0" customWidth="1"/>
    <col min="5" max="5" width="13.140625" style="0" customWidth="1"/>
    <col min="6" max="6" width="13.28125" style="0" customWidth="1"/>
    <col min="7" max="9" width="3.8515625" style="0" customWidth="1"/>
    <col min="10" max="10" width="15.140625" style="0" customWidth="1"/>
  </cols>
  <sheetData>
    <row r="1" spans="1:12" s="1" customFormat="1" ht="23.25">
      <c r="A1" s="633" t="s">
        <v>135</v>
      </c>
      <c r="B1" s="634"/>
      <c r="C1" s="634"/>
      <c r="D1" s="634"/>
      <c r="E1" s="634"/>
      <c r="F1" s="634"/>
      <c r="G1" s="648" t="s">
        <v>136</v>
      </c>
      <c r="H1" s="648"/>
      <c r="I1" s="648"/>
      <c r="J1" s="649"/>
      <c r="K1" s="2"/>
      <c r="L1" s="2"/>
    </row>
    <row r="2" spans="1:10" s="1" customFormat="1" ht="23.25">
      <c r="A2" s="636" t="s">
        <v>137</v>
      </c>
      <c r="B2" s="637"/>
      <c r="C2" s="637"/>
      <c r="D2" s="637"/>
      <c r="E2" s="637"/>
      <c r="F2" s="637"/>
      <c r="G2" s="2"/>
      <c r="H2" s="2"/>
      <c r="I2" s="2"/>
      <c r="J2" s="50"/>
    </row>
    <row r="3" spans="1:10" s="1" customFormat="1" ht="23.25">
      <c r="A3" s="638"/>
      <c r="B3" s="639"/>
      <c r="C3" s="639"/>
      <c r="D3" s="639"/>
      <c r="E3" s="639"/>
      <c r="F3" s="639"/>
      <c r="G3" s="640" t="s">
        <v>282</v>
      </c>
      <c r="H3" s="640"/>
      <c r="I3" s="640"/>
      <c r="J3" s="641"/>
    </row>
    <row r="4" spans="1:10" s="1" customFormat="1" ht="23.25">
      <c r="A4" s="58"/>
      <c r="B4" s="59"/>
      <c r="C4" s="59"/>
      <c r="D4" s="59"/>
      <c r="E4" s="59"/>
      <c r="F4" s="59"/>
      <c r="G4" s="642" t="s">
        <v>53</v>
      </c>
      <c r="H4" s="643"/>
      <c r="I4" s="643"/>
      <c r="J4" s="644"/>
    </row>
    <row r="5" spans="1:10" s="1" customFormat="1" ht="23.25">
      <c r="A5" s="5" t="str">
        <f>'001-2-50657-8'!A5</f>
        <v>ยอดคงเหลือตามรายงานธนาคาร  ณ  วันที่  30  เมษายน 2555</v>
      </c>
      <c r="B5" s="2"/>
      <c r="C5" s="2"/>
      <c r="D5" s="2"/>
      <c r="E5" s="2"/>
      <c r="F5" s="50"/>
      <c r="G5" s="645">
        <v>676830.47</v>
      </c>
      <c r="H5" s="646"/>
      <c r="I5" s="646"/>
      <c r="J5" s="647"/>
    </row>
    <row r="6" spans="1:10" s="1" customFormat="1" ht="23.25">
      <c r="A6" s="5" t="s">
        <v>139</v>
      </c>
      <c r="B6" s="625" t="s">
        <v>280</v>
      </c>
      <c r="C6" s="626"/>
      <c r="D6" s="626"/>
      <c r="E6" s="626"/>
      <c r="F6" s="627"/>
      <c r="G6" s="5"/>
      <c r="H6" s="2"/>
      <c r="I6" s="2"/>
      <c r="J6" s="100">
        <v>20000</v>
      </c>
    </row>
    <row r="7" spans="1:10" s="1" customFormat="1" ht="23.25">
      <c r="A7" s="5"/>
      <c r="B7" s="623" t="s">
        <v>35</v>
      </c>
      <c r="C7" s="623"/>
      <c r="D7" s="61" t="s">
        <v>140</v>
      </c>
      <c r="E7" s="61" t="s">
        <v>51</v>
      </c>
      <c r="G7" s="63"/>
      <c r="H7" s="64"/>
      <c r="I7" s="64"/>
      <c r="J7" s="65"/>
    </row>
    <row r="8" spans="1:10" s="1" customFormat="1" ht="23.25">
      <c r="A8" s="9"/>
      <c r="B8" s="4"/>
      <c r="C8" s="61"/>
      <c r="D8" s="7"/>
      <c r="E8" s="282"/>
      <c r="G8" s="63"/>
      <c r="H8" s="64"/>
      <c r="I8" s="64"/>
      <c r="J8" s="65"/>
    </row>
    <row r="9" spans="1:10" s="1" customFormat="1" ht="23.25">
      <c r="A9" s="5"/>
      <c r="B9" s="4"/>
      <c r="C9" s="61"/>
      <c r="D9" s="7"/>
      <c r="E9" s="282"/>
      <c r="G9" s="63"/>
      <c r="H9" s="64"/>
      <c r="I9" s="64"/>
      <c r="J9" s="283"/>
    </row>
    <row r="10" spans="1:10" s="1" customFormat="1" ht="23.25">
      <c r="A10" s="5"/>
      <c r="B10" s="61"/>
      <c r="C10" s="61"/>
      <c r="D10" s="61"/>
      <c r="E10" s="61"/>
      <c r="G10" s="63"/>
      <c r="H10" s="64"/>
      <c r="I10" s="64"/>
      <c r="J10" s="65"/>
    </row>
    <row r="11" spans="1:12" s="1" customFormat="1" ht="23.25">
      <c r="A11" s="8"/>
      <c r="B11" s="624"/>
      <c r="C11" s="624"/>
      <c r="D11" s="2"/>
      <c r="E11" s="7" t="s">
        <v>91</v>
      </c>
      <c r="F11" s="66" t="s">
        <v>91</v>
      </c>
      <c r="G11" s="63"/>
      <c r="H11" s="67"/>
      <c r="I11" s="67"/>
      <c r="J11" s="68"/>
      <c r="L11" s="1">
        <f>696830.47-20000</f>
        <v>676830.47</v>
      </c>
    </row>
    <row r="12" spans="1:10" s="1" customFormat="1" ht="23.25">
      <c r="A12" s="5" t="s">
        <v>141</v>
      </c>
      <c r="B12" s="2"/>
      <c r="C12" s="2"/>
      <c r="D12" s="2"/>
      <c r="E12" s="2"/>
      <c r="F12" s="50"/>
      <c r="G12" s="628"/>
      <c r="H12" s="629"/>
      <c r="I12" s="629"/>
      <c r="J12" s="630"/>
    </row>
    <row r="13" spans="1:10" s="1" customFormat="1" ht="23.25">
      <c r="A13" s="632" t="s">
        <v>283</v>
      </c>
      <c r="B13" s="626"/>
      <c r="C13" s="626"/>
      <c r="D13" s="626"/>
      <c r="E13" s="626"/>
      <c r="F13" s="627"/>
      <c r="G13" s="9"/>
      <c r="H13" s="4"/>
      <c r="I13" s="4"/>
      <c r="J13" s="70"/>
    </row>
    <row r="14" spans="1:10" s="1" customFormat="1" ht="23.25">
      <c r="A14" s="8"/>
      <c r="B14" s="619" t="s">
        <v>143</v>
      </c>
      <c r="C14" s="620"/>
      <c r="D14" s="2"/>
      <c r="E14" s="71" t="s">
        <v>144</v>
      </c>
      <c r="F14" s="72">
        <v>4950</v>
      </c>
      <c r="G14" s="8"/>
      <c r="H14" s="10"/>
      <c r="I14" s="10"/>
      <c r="J14" s="11"/>
    </row>
    <row r="15" spans="1:10" s="1" customFormat="1" ht="23.25">
      <c r="A15" s="8"/>
      <c r="B15" s="619" t="s">
        <v>145</v>
      </c>
      <c r="C15" s="631"/>
      <c r="D15" s="2"/>
      <c r="E15" s="71" t="s">
        <v>146</v>
      </c>
      <c r="F15" s="72">
        <v>500</v>
      </c>
      <c r="G15" s="63"/>
      <c r="H15" s="67"/>
      <c r="I15" s="67"/>
      <c r="J15" s="73"/>
    </row>
    <row r="16" spans="1:10" s="1" customFormat="1" ht="23.25">
      <c r="A16" s="8"/>
      <c r="B16" s="619" t="s">
        <v>147</v>
      </c>
      <c r="C16" s="620"/>
      <c r="D16" s="2"/>
      <c r="E16" s="71" t="s">
        <v>148</v>
      </c>
      <c r="F16" s="72">
        <v>300</v>
      </c>
      <c r="G16" s="8"/>
      <c r="H16" s="10"/>
      <c r="I16" s="10"/>
      <c r="J16" s="11"/>
    </row>
    <row r="17" spans="1:10" s="1" customFormat="1" ht="23.25">
      <c r="A17" s="8"/>
      <c r="B17" s="619" t="s">
        <v>152</v>
      </c>
      <c r="C17" s="620"/>
      <c r="D17" s="2"/>
      <c r="E17" s="71" t="s">
        <v>154</v>
      </c>
      <c r="F17" s="72">
        <v>4950</v>
      </c>
      <c r="G17" s="63"/>
      <c r="H17" s="67"/>
      <c r="I17" s="67"/>
      <c r="J17" s="73"/>
    </row>
    <row r="18" spans="1:10" s="1" customFormat="1" ht="23.25">
      <c r="A18" s="8"/>
      <c r="B18" s="619" t="s">
        <v>155</v>
      </c>
      <c r="C18" s="620"/>
      <c r="D18" s="2"/>
      <c r="E18" s="71" t="s">
        <v>156</v>
      </c>
      <c r="F18" s="72">
        <v>2000</v>
      </c>
      <c r="G18" s="63"/>
      <c r="H18" s="67"/>
      <c r="I18" s="67"/>
      <c r="J18" s="73"/>
    </row>
    <row r="19" spans="1:10" s="1" customFormat="1" ht="23.25">
      <c r="A19" s="8"/>
      <c r="B19" s="621"/>
      <c r="C19" s="622"/>
      <c r="D19" s="2"/>
      <c r="E19" s="7"/>
      <c r="F19" s="12"/>
      <c r="G19" s="60"/>
      <c r="H19" s="75"/>
      <c r="I19" s="75"/>
      <c r="J19" s="68"/>
    </row>
    <row r="20" spans="1:10" s="1" customFormat="1" ht="23.25">
      <c r="A20" s="8"/>
      <c r="B20" s="621"/>
      <c r="C20" s="622"/>
      <c r="D20" s="2"/>
      <c r="E20" s="7"/>
      <c r="F20" s="12"/>
      <c r="G20" s="60"/>
      <c r="H20" s="75"/>
      <c r="I20" s="75"/>
      <c r="J20" s="68"/>
    </row>
    <row r="21" spans="1:10" s="1" customFormat="1" ht="23.25">
      <c r="A21" s="5" t="s">
        <v>157</v>
      </c>
      <c r="B21" s="2"/>
      <c r="C21" s="2"/>
      <c r="D21" s="2"/>
      <c r="E21" s="10"/>
      <c r="F21" s="50"/>
      <c r="G21" s="63"/>
      <c r="H21" s="67"/>
      <c r="I21" s="67"/>
      <c r="J21" s="68"/>
    </row>
    <row r="22" spans="1:10" s="1" customFormat="1" ht="23.25">
      <c r="A22" s="76"/>
      <c r="B22" s="77"/>
      <c r="C22" s="7"/>
      <c r="D22" s="2"/>
      <c r="E22" s="2"/>
      <c r="F22" s="12"/>
      <c r="G22" s="63"/>
      <c r="H22" s="67"/>
      <c r="I22" s="67"/>
      <c r="J22" s="68"/>
    </row>
    <row r="23" spans="1:10" s="1" customFormat="1" ht="23.25">
      <c r="A23" s="5"/>
      <c r="B23" s="7" t="s">
        <v>91</v>
      </c>
      <c r="C23" s="7"/>
      <c r="D23" s="2"/>
      <c r="E23" s="2"/>
      <c r="F23" s="12"/>
      <c r="G23" s="63"/>
      <c r="H23" s="67"/>
      <c r="I23" s="67"/>
      <c r="J23" s="73"/>
    </row>
    <row r="24" spans="1:12" s="1" customFormat="1" ht="23.25">
      <c r="A24" s="6" t="str">
        <f>'001-2-50657-8'!A22</f>
        <v>ยอดคงเหลือตามบัญชี ณ วันที่   30  เมษายน  2555</v>
      </c>
      <c r="B24" s="3"/>
      <c r="C24" s="3"/>
      <c r="D24" s="3"/>
      <c r="E24" s="3"/>
      <c r="F24" s="78"/>
      <c r="G24" s="616">
        <f>G5+J6</f>
        <v>696830.47</v>
      </c>
      <c r="H24" s="617"/>
      <c r="I24" s="617"/>
      <c r="J24" s="618"/>
      <c r="L24" s="98">
        <f>G24-งบทดลอง1!F13</f>
        <v>-14215574.799999999</v>
      </c>
    </row>
    <row r="25" spans="1:12" s="1" customFormat="1" ht="23.25">
      <c r="A25" s="79"/>
      <c r="B25" s="80"/>
      <c r="C25" s="80"/>
      <c r="D25" s="80"/>
      <c r="E25" s="80"/>
      <c r="F25" s="81"/>
      <c r="G25" s="82"/>
      <c r="H25" s="83"/>
      <c r="I25" s="83"/>
      <c r="J25" s="84"/>
      <c r="K25" s="2"/>
      <c r="L25" s="2"/>
    </row>
    <row r="26" spans="1:12" s="1" customFormat="1" ht="23.25">
      <c r="A26" s="85" t="s">
        <v>158</v>
      </c>
      <c r="B26" s="86"/>
      <c r="C26" s="86"/>
      <c r="D26" s="86"/>
      <c r="E26" s="2"/>
      <c r="F26" s="86"/>
      <c r="G26" s="86"/>
      <c r="H26" s="86"/>
      <c r="I26" s="86"/>
      <c r="J26" s="87"/>
      <c r="K26" s="2"/>
      <c r="L26" s="2"/>
    </row>
    <row r="27" spans="1:12" s="1" customFormat="1" ht="23.25">
      <c r="A27" s="9" t="s">
        <v>159</v>
      </c>
      <c r="B27" s="4"/>
      <c r="C27" s="4"/>
      <c r="D27" s="4"/>
      <c r="E27" s="86"/>
      <c r="F27" s="4"/>
      <c r="G27" s="4"/>
      <c r="H27" s="4"/>
      <c r="I27" s="4"/>
      <c r="J27" s="53"/>
      <c r="K27" s="2"/>
      <c r="L27" s="2"/>
    </row>
    <row r="28" spans="1:12" s="1" customFormat="1" ht="23.25">
      <c r="A28" s="9" t="s">
        <v>160</v>
      </c>
      <c r="B28" s="4"/>
      <c r="C28" s="4"/>
      <c r="D28" s="4"/>
      <c r="E28" s="4"/>
      <c r="F28" s="4"/>
      <c r="G28" s="4"/>
      <c r="H28" s="4"/>
      <c r="I28" s="4"/>
      <c r="J28" s="53"/>
      <c r="K28" s="4"/>
      <c r="L28" s="4"/>
    </row>
    <row r="29" spans="1:12" s="1" customFormat="1" ht="23.25">
      <c r="A29" s="9" t="s">
        <v>398</v>
      </c>
      <c r="B29" s="4"/>
      <c r="C29" s="4"/>
      <c r="D29" s="4"/>
      <c r="E29" s="4"/>
      <c r="F29" s="4"/>
      <c r="G29" s="4"/>
      <c r="H29" s="4"/>
      <c r="I29" s="4"/>
      <c r="J29" s="53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8"/>
      <c r="K30" s="2"/>
      <c r="L30" s="2"/>
    </row>
    <row r="31" s="1" customFormat="1" ht="23.25"/>
  </sheetData>
  <sheetProtection/>
  <mergeCells count="19">
    <mergeCell ref="A1:F1"/>
    <mergeCell ref="G1:J1"/>
    <mergeCell ref="A2:F3"/>
    <mergeCell ref="G3:J3"/>
    <mergeCell ref="G4:J4"/>
    <mergeCell ref="G5:J5"/>
    <mergeCell ref="B7:C7"/>
    <mergeCell ref="B11:C11"/>
    <mergeCell ref="B6:F6"/>
    <mergeCell ref="G12:J12"/>
    <mergeCell ref="B14:C14"/>
    <mergeCell ref="B15:C15"/>
    <mergeCell ref="A13:F13"/>
    <mergeCell ref="B16:C16"/>
    <mergeCell ref="B19:C19"/>
    <mergeCell ref="B20:C20"/>
    <mergeCell ref="G24:J24"/>
    <mergeCell ref="B17:C17"/>
    <mergeCell ref="B18:C18"/>
  </mergeCells>
  <printOptions/>
  <pageMargins left="0.75" right="0.27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9">
      <selection activeCell="F29" sqref="F29"/>
    </sheetView>
  </sheetViews>
  <sheetFormatPr defaultColWidth="9.140625" defaultRowHeight="21.75"/>
  <cols>
    <col min="6" max="6" width="13.28125" style="0" customWidth="1"/>
    <col min="9" max="9" width="6.8515625" style="0" customWidth="1"/>
    <col min="10" max="10" width="15.140625" style="0" customWidth="1"/>
  </cols>
  <sheetData>
    <row r="1" spans="1:12" s="1" customFormat="1" ht="23.25">
      <c r="A1" s="633" t="s">
        <v>135</v>
      </c>
      <c r="B1" s="634"/>
      <c r="C1" s="634"/>
      <c r="D1" s="634"/>
      <c r="E1" s="634"/>
      <c r="F1" s="634"/>
      <c r="G1" s="648" t="s">
        <v>277</v>
      </c>
      <c r="H1" s="648"/>
      <c r="I1" s="648"/>
      <c r="J1" s="649"/>
      <c r="K1" s="2"/>
      <c r="L1" s="2"/>
    </row>
    <row r="2" spans="1:10" s="1" customFormat="1" ht="23.25">
      <c r="A2" s="636" t="s">
        <v>137</v>
      </c>
      <c r="B2" s="637"/>
      <c r="C2" s="637"/>
      <c r="D2" s="637"/>
      <c r="E2" s="637"/>
      <c r="F2" s="637"/>
      <c r="G2" s="2"/>
      <c r="H2" s="2"/>
      <c r="I2" s="2"/>
      <c r="J2" s="50"/>
    </row>
    <row r="3" spans="1:10" s="1" customFormat="1" ht="23.25">
      <c r="A3" s="638"/>
      <c r="B3" s="639"/>
      <c r="C3" s="639"/>
      <c r="D3" s="639"/>
      <c r="E3" s="639"/>
      <c r="F3" s="639"/>
      <c r="G3" s="640" t="s">
        <v>276</v>
      </c>
      <c r="H3" s="640"/>
      <c r="I3" s="640"/>
      <c r="J3" s="641"/>
    </row>
    <row r="4" spans="1:10" s="1" customFormat="1" ht="23.25">
      <c r="A4" s="58"/>
      <c r="B4" s="59"/>
      <c r="C4" s="59"/>
      <c r="D4" s="59"/>
      <c r="E4" s="59"/>
      <c r="F4" s="59"/>
      <c r="G4" s="642" t="s">
        <v>53</v>
      </c>
      <c r="H4" s="643"/>
      <c r="I4" s="643"/>
      <c r="J4" s="644"/>
    </row>
    <row r="5" spans="1:10" s="1" customFormat="1" ht="23.25">
      <c r="A5" s="5" t="str">
        <f>'539-6-01276-5'!A5</f>
        <v>ยอดคงเหลือตามรายงานธนาคาร  ณ  วันที่  30  เมษายน 2555</v>
      </c>
      <c r="B5" s="2"/>
      <c r="C5" s="2"/>
      <c r="D5" s="2"/>
      <c r="E5" s="2"/>
      <c r="F5" s="50"/>
      <c r="G5" s="645">
        <v>1062.03</v>
      </c>
      <c r="H5" s="646"/>
      <c r="I5" s="646"/>
      <c r="J5" s="647"/>
    </row>
    <row r="6" spans="1:10" s="1" customFormat="1" ht="23.25">
      <c r="A6" s="5" t="s">
        <v>139</v>
      </c>
      <c r="B6" s="625"/>
      <c r="C6" s="626"/>
      <c r="D6" s="626"/>
      <c r="E6" s="626"/>
      <c r="F6" s="627"/>
      <c r="G6" s="5"/>
      <c r="H6" s="2"/>
      <c r="I6" s="2"/>
      <c r="J6" s="100"/>
    </row>
    <row r="7" spans="1:10" s="1" customFormat="1" ht="23.25">
      <c r="A7" s="5"/>
      <c r="B7" s="623" t="s">
        <v>35</v>
      </c>
      <c r="C7" s="623"/>
      <c r="D7" s="61" t="s">
        <v>140</v>
      </c>
      <c r="E7" s="62" t="s">
        <v>51</v>
      </c>
      <c r="G7" s="63"/>
      <c r="H7" s="64"/>
      <c r="I7" s="64"/>
      <c r="J7" s="65"/>
    </row>
    <row r="8" spans="1:10" s="1" customFormat="1" ht="23.25">
      <c r="A8" s="8"/>
      <c r="B8" s="624"/>
      <c r="C8" s="624"/>
      <c r="D8" s="2"/>
      <c r="E8" s="7" t="s">
        <v>91</v>
      </c>
      <c r="F8" s="66" t="s">
        <v>91</v>
      </c>
      <c r="G8" s="63"/>
      <c r="H8" s="67"/>
      <c r="I8" s="67"/>
      <c r="J8" s="68"/>
    </row>
    <row r="9" spans="1:10" s="1" customFormat="1" ht="23.25">
      <c r="A9" s="5" t="s">
        <v>141</v>
      </c>
      <c r="B9" s="2"/>
      <c r="C9" s="2"/>
      <c r="D9" s="2"/>
      <c r="E9" s="2"/>
      <c r="F9" s="50"/>
      <c r="G9" s="628"/>
      <c r="H9" s="629"/>
      <c r="I9" s="629"/>
      <c r="J9" s="630"/>
    </row>
    <row r="10" spans="1:10" s="1" customFormat="1" ht="23.25">
      <c r="A10" s="5"/>
      <c r="B10" s="623" t="s">
        <v>164</v>
      </c>
      <c r="C10" s="623"/>
      <c r="D10" s="2"/>
      <c r="E10" s="61" t="s">
        <v>140</v>
      </c>
      <c r="F10" s="62" t="s">
        <v>51</v>
      </c>
      <c r="G10" s="9"/>
      <c r="H10" s="4"/>
      <c r="I10" s="4"/>
      <c r="J10" s="70"/>
    </row>
    <row r="11" spans="1:10" s="1" customFormat="1" ht="23.25">
      <c r="A11" s="632" t="s">
        <v>165</v>
      </c>
      <c r="B11" s="626"/>
      <c r="C11" s="626"/>
      <c r="D11" s="626"/>
      <c r="E11" s="626"/>
      <c r="F11" s="627"/>
      <c r="G11" s="8"/>
      <c r="H11" s="10"/>
      <c r="I11" s="10"/>
      <c r="J11" s="280">
        <v>110.77</v>
      </c>
    </row>
    <row r="12" spans="1:10" s="1" customFormat="1" ht="23.25">
      <c r="A12" s="8"/>
      <c r="B12" s="619" t="s">
        <v>145</v>
      </c>
      <c r="C12" s="631"/>
      <c r="D12" s="2"/>
      <c r="E12" s="71" t="s">
        <v>146</v>
      </c>
      <c r="F12" s="72">
        <v>500</v>
      </c>
      <c r="G12" s="63"/>
      <c r="H12" s="67"/>
      <c r="I12" s="67"/>
      <c r="J12" s="73"/>
    </row>
    <row r="13" spans="1:10" s="1" customFormat="1" ht="23.25">
      <c r="A13" s="8"/>
      <c r="B13" s="619" t="s">
        <v>147</v>
      </c>
      <c r="C13" s="620"/>
      <c r="D13" s="2"/>
      <c r="E13" s="71" t="s">
        <v>148</v>
      </c>
      <c r="F13" s="72">
        <v>300</v>
      </c>
      <c r="G13" s="8"/>
      <c r="H13" s="10"/>
      <c r="I13" s="10"/>
      <c r="J13" s="11"/>
    </row>
    <row r="14" spans="1:10" s="1" customFormat="1" ht="23.25">
      <c r="A14" s="8"/>
      <c r="B14" s="619" t="s">
        <v>149</v>
      </c>
      <c r="C14" s="620"/>
      <c r="D14" s="2"/>
      <c r="E14" s="71" t="s">
        <v>150</v>
      </c>
      <c r="F14" s="72">
        <v>391.82</v>
      </c>
      <c r="G14" s="8"/>
      <c r="H14" s="10"/>
      <c r="I14" s="10"/>
      <c r="J14" s="68"/>
    </row>
    <row r="15" spans="1:10" s="1" customFormat="1" ht="23.25">
      <c r="A15" s="5"/>
      <c r="B15" s="619" t="s">
        <v>149</v>
      </c>
      <c r="C15" s="620"/>
      <c r="E15" s="71" t="s">
        <v>151</v>
      </c>
      <c r="F15" s="74">
        <v>2282.19</v>
      </c>
      <c r="J15" s="50"/>
    </row>
    <row r="16" spans="1:10" s="1" customFormat="1" ht="23.25">
      <c r="A16" s="5"/>
      <c r="B16" s="619" t="s">
        <v>152</v>
      </c>
      <c r="C16" s="620"/>
      <c r="E16" s="71" t="s">
        <v>153</v>
      </c>
      <c r="F16" s="74">
        <v>1060</v>
      </c>
      <c r="J16" s="50"/>
    </row>
    <row r="17" spans="1:10" s="1" customFormat="1" ht="23.25">
      <c r="A17" s="8"/>
      <c r="B17" s="619" t="s">
        <v>152</v>
      </c>
      <c r="C17" s="620"/>
      <c r="D17" s="2"/>
      <c r="E17" s="71" t="s">
        <v>154</v>
      </c>
      <c r="F17" s="72">
        <v>4950</v>
      </c>
      <c r="G17" s="63"/>
      <c r="H17" s="67"/>
      <c r="I17" s="67"/>
      <c r="J17" s="73"/>
    </row>
    <row r="18" spans="1:10" s="1" customFormat="1" ht="23.25">
      <c r="A18" s="8"/>
      <c r="B18" s="619" t="s">
        <v>155</v>
      </c>
      <c r="C18" s="620"/>
      <c r="D18" s="2"/>
      <c r="E18" s="71" t="s">
        <v>156</v>
      </c>
      <c r="F18" s="72">
        <v>2000</v>
      </c>
      <c r="G18" s="63"/>
      <c r="H18" s="67"/>
      <c r="I18" s="67"/>
      <c r="J18" s="73"/>
    </row>
    <row r="19" spans="1:10" s="1" customFormat="1" ht="23.25">
      <c r="A19" s="8"/>
      <c r="B19" s="621"/>
      <c r="C19" s="622"/>
      <c r="D19" s="2"/>
      <c r="E19" s="7"/>
      <c r="F19" s="12"/>
      <c r="G19" s="60"/>
      <c r="H19" s="75"/>
      <c r="I19" s="75"/>
      <c r="J19" s="68"/>
    </row>
    <row r="20" spans="1:10" s="1" customFormat="1" ht="23.25">
      <c r="A20" s="8"/>
      <c r="B20" s="621"/>
      <c r="C20" s="622"/>
      <c r="D20" s="2"/>
      <c r="E20" s="7"/>
      <c r="F20" s="12"/>
      <c r="G20" s="60"/>
      <c r="H20" s="75"/>
      <c r="I20" s="75"/>
      <c r="J20" s="68"/>
    </row>
    <row r="21" spans="1:10" s="1" customFormat="1" ht="23.25">
      <c r="A21" s="5" t="s">
        <v>157</v>
      </c>
      <c r="B21" s="2"/>
      <c r="C21" s="2"/>
      <c r="D21" s="2"/>
      <c r="E21" s="10"/>
      <c r="F21" s="50"/>
      <c r="G21" s="63"/>
      <c r="H21" s="67"/>
      <c r="I21" s="67"/>
      <c r="J21" s="68"/>
    </row>
    <row r="22" spans="1:10" s="1" customFormat="1" ht="23.25">
      <c r="A22" s="76"/>
      <c r="B22" s="77"/>
      <c r="C22" s="7"/>
      <c r="D22" s="2"/>
      <c r="E22" s="2"/>
      <c r="F22" s="12"/>
      <c r="G22" s="63"/>
      <c r="H22" s="67"/>
      <c r="I22" s="67"/>
      <c r="J22" s="68"/>
    </row>
    <row r="23" spans="1:10" s="1" customFormat="1" ht="23.25">
      <c r="A23" s="5"/>
      <c r="B23" s="7" t="s">
        <v>91</v>
      </c>
      <c r="C23" s="7"/>
      <c r="D23" s="2"/>
      <c r="E23" s="2"/>
      <c r="F23" s="12"/>
      <c r="G23" s="63"/>
      <c r="H23" s="67"/>
      <c r="I23" s="67"/>
      <c r="J23" s="73"/>
    </row>
    <row r="24" spans="1:12" s="1" customFormat="1" ht="23.25">
      <c r="A24" s="6" t="str">
        <f>'539-6-01276-5'!A24</f>
        <v>ยอดคงเหลือตามบัญชี ณ วันที่   30  เมษายน  2555</v>
      </c>
      <c r="B24" s="3"/>
      <c r="C24" s="3"/>
      <c r="D24" s="3"/>
      <c r="E24" s="3"/>
      <c r="F24" s="78"/>
      <c r="G24" s="616">
        <f>G5-J11</f>
        <v>951.26</v>
      </c>
      <c r="H24" s="617"/>
      <c r="I24" s="617"/>
      <c r="J24" s="618"/>
      <c r="L24" s="98">
        <f>G24-งบทดลอง1!F12</f>
        <v>-984.94</v>
      </c>
    </row>
    <row r="25" spans="1:12" s="1" customFormat="1" ht="23.25">
      <c r="A25" s="79"/>
      <c r="B25" s="80"/>
      <c r="C25" s="80"/>
      <c r="D25" s="80"/>
      <c r="E25" s="80"/>
      <c r="F25" s="81"/>
      <c r="G25" s="82"/>
      <c r="H25" s="83"/>
      <c r="I25" s="83"/>
      <c r="J25" s="84"/>
      <c r="K25" s="2"/>
      <c r="L25" s="2"/>
    </row>
    <row r="26" spans="1:12" s="1" customFormat="1" ht="23.25">
      <c r="A26" s="85" t="s">
        <v>158</v>
      </c>
      <c r="B26" s="86"/>
      <c r="C26" s="86"/>
      <c r="D26" s="86"/>
      <c r="E26" s="2"/>
      <c r="F26" s="86"/>
      <c r="G26" s="86"/>
      <c r="H26" s="86"/>
      <c r="I26" s="86"/>
      <c r="J26" s="87"/>
      <c r="K26" s="2"/>
      <c r="L26" s="2"/>
    </row>
    <row r="27" spans="1:12" s="1" customFormat="1" ht="23.25">
      <c r="A27" s="9" t="s">
        <v>159</v>
      </c>
      <c r="B27" s="4"/>
      <c r="C27" s="4"/>
      <c r="D27" s="4"/>
      <c r="E27" s="86"/>
      <c r="F27" s="4"/>
      <c r="G27" s="4"/>
      <c r="H27" s="4"/>
      <c r="I27" s="4"/>
      <c r="J27" s="53"/>
      <c r="K27" s="2"/>
      <c r="L27" s="2"/>
    </row>
    <row r="28" spans="1:12" s="1" customFormat="1" ht="23.25">
      <c r="A28" s="9" t="s">
        <v>160</v>
      </c>
      <c r="B28" s="4"/>
      <c r="C28" s="4"/>
      <c r="D28" s="4"/>
      <c r="E28" s="4"/>
      <c r="F28" s="4"/>
      <c r="G28" s="4"/>
      <c r="H28" s="4"/>
      <c r="I28" s="4"/>
      <c r="J28" s="53"/>
      <c r="K28" s="4"/>
      <c r="L28" s="4"/>
    </row>
    <row r="29" spans="1:12" s="1" customFormat="1" ht="23.25">
      <c r="A29" s="9" t="s">
        <v>392</v>
      </c>
      <c r="B29" s="4"/>
      <c r="C29" s="4"/>
      <c r="D29" s="4"/>
      <c r="E29" s="4"/>
      <c r="F29" s="4"/>
      <c r="G29" s="4"/>
      <c r="H29" s="4"/>
      <c r="I29" s="4"/>
      <c r="J29" s="53"/>
      <c r="K29" s="4"/>
      <c r="L29" s="4"/>
    </row>
    <row r="30" spans="1:12" s="1" customFormat="1" ht="23.25">
      <c r="A30" s="6"/>
      <c r="B30" s="3"/>
      <c r="C30" s="3"/>
      <c r="D30" s="3"/>
      <c r="E30" s="3"/>
      <c r="F30" s="3"/>
      <c r="G30" s="3"/>
      <c r="H30" s="3"/>
      <c r="I30" s="3"/>
      <c r="J30" s="88"/>
      <c r="K30" s="2"/>
      <c r="L30" s="2"/>
    </row>
    <row r="31" s="1" customFormat="1" ht="23.25"/>
  </sheetData>
  <sheetProtection/>
  <mergeCells count="22">
    <mergeCell ref="B19:C19"/>
    <mergeCell ref="B20:C20"/>
    <mergeCell ref="G24:J24"/>
    <mergeCell ref="B17:C17"/>
    <mergeCell ref="B18:C18"/>
    <mergeCell ref="B13:C13"/>
    <mergeCell ref="B14:C14"/>
    <mergeCell ref="B15:C15"/>
    <mergeCell ref="B16:C16"/>
    <mergeCell ref="B12:C12"/>
    <mergeCell ref="A11:F11"/>
    <mergeCell ref="G4:J4"/>
    <mergeCell ref="G5:J5"/>
    <mergeCell ref="B7:C7"/>
    <mergeCell ref="B8:C8"/>
    <mergeCell ref="B6:F6"/>
    <mergeCell ref="A1:F1"/>
    <mergeCell ref="G1:J1"/>
    <mergeCell ref="A2:F3"/>
    <mergeCell ref="G3:J3"/>
    <mergeCell ref="G9:J9"/>
    <mergeCell ref="B10:C10"/>
  </mergeCells>
  <printOptions/>
  <pageMargins left="0.75" right="0.27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H43"/>
  <sheetViews>
    <sheetView zoomScalePageLayoutView="0" workbookViewId="0" topLeftCell="A1">
      <selection activeCell="F10" sqref="F10"/>
    </sheetView>
  </sheetViews>
  <sheetFormatPr defaultColWidth="9.140625" defaultRowHeight="21.75"/>
  <cols>
    <col min="1" max="1" width="9.421875" style="13" customWidth="1"/>
    <col min="2" max="2" width="11.57421875" style="13" customWidth="1"/>
    <col min="3" max="3" width="9.57421875" style="13" customWidth="1"/>
    <col min="4" max="4" width="12.28125" style="13" customWidth="1"/>
    <col min="5" max="5" width="46.57421875" style="13" customWidth="1"/>
    <col min="6" max="6" width="13.8515625" style="13" customWidth="1"/>
    <col min="7" max="7" width="14.28125" style="13" customWidth="1"/>
    <col min="8" max="8" width="9.28125" style="13" bestFit="1" customWidth="1"/>
    <col min="9" max="10" width="12.421875" style="13" bestFit="1" customWidth="1"/>
    <col min="11" max="16384" width="9.140625" style="13" customWidth="1"/>
  </cols>
  <sheetData>
    <row r="1" spans="1:8" ht="23.25">
      <c r="A1" s="14"/>
      <c r="B1" s="14"/>
      <c r="C1" s="14"/>
      <c r="D1" s="14"/>
      <c r="E1" s="14"/>
      <c r="F1" s="14"/>
      <c r="G1" s="653" t="s">
        <v>482</v>
      </c>
      <c r="H1" s="653"/>
    </row>
    <row r="2" spans="1:8" ht="23.25">
      <c r="A2" s="652" t="s">
        <v>33</v>
      </c>
      <c r="B2" s="652"/>
      <c r="C2" s="652"/>
      <c r="D2" s="652"/>
      <c r="E2" s="652"/>
      <c r="F2" s="652"/>
      <c r="G2" s="652"/>
      <c r="H2" s="652"/>
    </row>
    <row r="3" spans="1:8" ht="23.25">
      <c r="A3" s="652" t="s">
        <v>475</v>
      </c>
      <c r="B3" s="652"/>
      <c r="C3" s="652"/>
      <c r="D3" s="652"/>
      <c r="E3" s="652"/>
      <c r="F3" s="652"/>
      <c r="G3" s="652"/>
      <c r="H3" s="652"/>
    </row>
    <row r="4" spans="1:8" ht="23.25">
      <c r="A4" s="652" t="str">
        <f>งบทดลอง1!A3</f>
        <v>ณ  วันที่  30  เมษายน  2555</v>
      </c>
      <c r="B4" s="652"/>
      <c r="C4" s="652"/>
      <c r="D4" s="652"/>
      <c r="E4" s="652"/>
      <c r="F4" s="652"/>
      <c r="G4" s="652"/>
      <c r="H4" s="652"/>
    </row>
    <row r="5" spans="1:8" ht="23.25">
      <c r="A5" s="36"/>
      <c r="B5" s="36"/>
      <c r="C5" s="36"/>
      <c r="D5" s="36"/>
      <c r="E5" s="36"/>
      <c r="F5" s="36"/>
      <c r="G5" s="36"/>
      <c r="H5" s="36"/>
    </row>
    <row r="6" spans="1:8" ht="23.25">
      <c r="A6" s="36"/>
      <c r="B6" s="14" t="s">
        <v>454</v>
      </c>
      <c r="C6" s="36"/>
      <c r="D6" s="36"/>
      <c r="E6" s="36"/>
      <c r="F6" s="531">
        <f>187500+68500+357500</f>
        <v>613500</v>
      </c>
      <c r="G6" s="36"/>
      <c r="H6" s="36"/>
    </row>
    <row r="7" spans="1:8" ht="23.25">
      <c r="A7" s="36"/>
      <c r="B7" s="14" t="s">
        <v>455</v>
      </c>
      <c r="C7" s="36"/>
      <c r="D7" s="36"/>
      <c r="E7" s="36"/>
      <c r="F7" s="38">
        <f>1570200+4049176</f>
        <v>5619376</v>
      </c>
      <c r="G7" s="36"/>
      <c r="H7" s="36"/>
    </row>
    <row r="8" spans="1:8" ht="25.5">
      <c r="A8" s="14"/>
      <c r="B8" s="14" t="s">
        <v>472</v>
      </c>
      <c r="C8" s="14"/>
      <c r="D8" s="14"/>
      <c r="E8" s="14"/>
      <c r="F8" s="424">
        <v>1484000</v>
      </c>
      <c r="G8" s="424">
        <f>F6+F7+F8</f>
        <v>7716876</v>
      </c>
      <c r="H8" s="14"/>
    </row>
    <row r="9" spans="1:8" ht="57" customHeight="1">
      <c r="A9" s="204" t="s">
        <v>113</v>
      </c>
      <c r="B9" s="14" t="s">
        <v>457</v>
      </c>
      <c r="C9" s="14"/>
      <c r="D9" s="14"/>
      <c r="E9" s="14"/>
      <c r="F9" s="38">
        <f>142000+463000+460500+601100+604200+589500+601400</f>
        <v>3461700</v>
      </c>
      <c r="G9" s="205"/>
      <c r="H9" s="14"/>
    </row>
    <row r="10" spans="1:8" ht="24" customHeight="1">
      <c r="A10" s="204"/>
      <c r="B10" s="14" t="s">
        <v>456</v>
      </c>
      <c r="C10" s="14"/>
      <c r="D10" s="14"/>
      <c r="E10" s="14"/>
      <c r="F10" s="534">
        <f>929500+71000+71000+71000+70500+70000</f>
        <v>1283000</v>
      </c>
      <c r="G10" s="55"/>
      <c r="H10" s="14"/>
    </row>
    <row r="11" spans="1:8" ht="24" customHeight="1">
      <c r="A11" s="204"/>
      <c r="B11" s="14" t="s">
        <v>472</v>
      </c>
      <c r="C11" s="14"/>
      <c r="D11" s="14"/>
      <c r="E11" s="14"/>
      <c r="F11" s="510">
        <v>1484000</v>
      </c>
      <c r="G11" s="511">
        <f>F9+F11+F10</f>
        <v>6228700</v>
      </c>
      <c r="H11" s="14"/>
    </row>
    <row r="12" spans="1:8" ht="33.75" customHeight="1" thickBot="1">
      <c r="A12" s="14"/>
      <c r="B12" s="14"/>
      <c r="D12" s="36" t="s">
        <v>86</v>
      </c>
      <c r="E12" s="14"/>
      <c r="F12" s="205"/>
      <c r="G12" s="509">
        <f>G8-G11</f>
        <v>1488176</v>
      </c>
      <c r="H12" s="14"/>
    </row>
    <row r="13" spans="1:8" ht="24" thickTop="1">
      <c r="A13" s="14"/>
      <c r="B13" s="14"/>
      <c r="D13" s="36"/>
      <c r="E13" s="14"/>
      <c r="F13" s="205"/>
      <c r="G13" s="55"/>
      <c r="H13" s="14"/>
    </row>
    <row r="14" spans="1:8" ht="23.25">
      <c r="A14" s="14"/>
      <c r="B14" s="14"/>
      <c r="D14" s="36"/>
      <c r="E14" s="14"/>
      <c r="F14" s="205"/>
      <c r="G14" s="55"/>
      <c r="H14" s="14"/>
    </row>
    <row r="15" spans="1:8" ht="23.25">
      <c r="A15" s="14"/>
      <c r="B15" s="14"/>
      <c r="D15" s="36"/>
      <c r="E15" s="14"/>
      <c r="F15" s="205"/>
      <c r="G15" s="55"/>
      <c r="H15" s="14"/>
    </row>
    <row r="16" spans="1:8" ht="23.25">
      <c r="A16" s="14"/>
      <c r="B16" s="14"/>
      <c r="D16" s="36"/>
      <c r="E16" s="14"/>
      <c r="F16" s="205"/>
      <c r="G16" s="55"/>
      <c r="H16" s="14"/>
    </row>
    <row r="17" spans="1:8" ht="23.25">
      <c r="A17" s="653"/>
      <c r="B17" s="653"/>
      <c r="C17" s="653"/>
      <c r="D17" s="653"/>
      <c r="E17" s="653"/>
      <c r="F17" s="653"/>
      <c r="G17" s="653"/>
      <c r="H17" s="14"/>
    </row>
    <row r="18" spans="1:8" ht="23.25">
      <c r="A18" s="652"/>
      <c r="B18" s="652"/>
      <c r="C18" s="652"/>
      <c r="D18" s="652"/>
      <c r="E18" s="652"/>
      <c r="F18" s="652"/>
      <c r="G18" s="652"/>
      <c r="H18" s="14"/>
    </row>
    <row r="19" spans="1:8" ht="23.25">
      <c r="A19" s="652"/>
      <c r="B19" s="652"/>
      <c r="C19" s="652"/>
      <c r="D19" s="652"/>
      <c r="E19" s="652"/>
      <c r="F19" s="652"/>
      <c r="G19" s="652"/>
      <c r="H19" s="14"/>
    </row>
    <row r="20" spans="1:8" ht="31.5" customHeight="1">
      <c r="A20" s="14"/>
      <c r="B20" s="14"/>
      <c r="C20" s="14"/>
      <c r="D20" s="14"/>
      <c r="E20" s="14"/>
      <c r="F20" s="14"/>
      <c r="G20" s="14"/>
      <c r="H20" s="205"/>
    </row>
    <row r="21" spans="1:8" ht="23.25">
      <c r="A21" s="14"/>
      <c r="B21" s="14"/>
      <c r="C21" s="653"/>
      <c r="D21" s="653"/>
      <c r="E21" s="653"/>
      <c r="F21" s="653"/>
      <c r="G21" s="206"/>
      <c r="H21" s="14"/>
    </row>
    <row r="22" spans="1:8" ht="23.25">
      <c r="A22" s="14"/>
      <c r="B22" s="14"/>
      <c r="D22" s="652"/>
      <c r="E22" s="652"/>
      <c r="F22" s="36"/>
      <c r="G22" s="14"/>
      <c r="H22" s="14"/>
    </row>
    <row r="23" spans="1:8" ht="23.25">
      <c r="A23" s="14"/>
      <c r="B23" s="14"/>
      <c r="C23" s="14"/>
      <c r="D23" s="14"/>
      <c r="F23" s="14"/>
      <c r="G23" s="14"/>
      <c r="H23" s="14"/>
    </row>
    <row r="24" spans="1:8" ht="23.25">
      <c r="A24" s="14"/>
      <c r="B24" s="14"/>
      <c r="C24" s="14"/>
      <c r="D24" s="14"/>
      <c r="E24" s="14"/>
      <c r="F24" s="14"/>
      <c r="G24" s="14"/>
      <c r="H24" s="14"/>
    </row>
    <row r="25" ht="21.75"/>
    <row r="26" ht="21.75"/>
    <row r="27" spans="1:7" ht="23.25">
      <c r="A27" s="653"/>
      <c r="B27" s="653"/>
      <c r="C27" s="653"/>
      <c r="D27" s="653"/>
      <c r="E27" s="653"/>
      <c r="F27" s="653"/>
      <c r="G27" s="653"/>
    </row>
    <row r="28" spans="1:7" ht="23.25">
      <c r="A28" s="652"/>
      <c r="B28" s="652"/>
      <c r="C28" s="652"/>
      <c r="D28" s="652"/>
      <c r="E28" s="652"/>
      <c r="F28" s="652"/>
      <c r="G28" s="652"/>
    </row>
    <row r="29" spans="1:7" ht="23.25">
      <c r="A29" s="652"/>
      <c r="B29" s="652"/>
      <c r="C29" s="652"/>
      <c r="D29" s="652"/>
      <c r="E29" s="652"/>
      <c r="F29" s="652"/>
      <c r="G29" s="652"/>
    </row>
    <row r="30" spans="1:7" ht="23.25">
      <c r="A30" s="14"/>
      <c r="B30" s="14"/>
      <c r="C30" s="14"/>
      <c r="D30" s="14"/>
      <c r="E30" s="14"/>
      <c r="F30" s="14"/>
      <c r="G30" s="14"/>
    </row>
    <row r="31" spans="1:7" ht="23.25">
      <c r="A31" s="14"/>
      <c r="B31" s="14"/>
      <c r="C31" s="653"/>
      <c r="D31" s="653"/>
      <c r="E31" s="653"/>
      <c r="F31" s="653"/>
      <c r="G31" s="14"/>
    </row>
    <row r="32" spans="1:7" ht="23.25">
      <c r="A32" s="14"/>
      <c r="B32" s="14"/>
      <c r="C32" s="652"/>
      <c r="D32" s="652"/>
      <c r="E32" s="652"/>
      <c r="F32" s="652"/>
      <c r="G32" s="14"/>
    </row>
    <row r="33" spans="1:7" ht="23.25">
      <c r="A33" s="14"/>
      <c r="B33" s="14"/>
      <c r="C33" s="652"/>
      <c r="D33" s="652"/>
      <c r="E33" s="652"/>
      <c r="F33" s="652"/>
      <c r="G33" s="14"/>
    </row>
    <row r="34" ht="21.75">
      <c r="G34" s="207">
        <f>7930713.76+249-1133022.86</f>
        <v>6797939.899999999</v>
      </c>
    </row>
    <row r="37" spans="1:7" ht="23.25">
      <c r="A37" s="653"/>
      <c r="B37" s="653"/>
      <c r="C37" s="653"/>
      <c r="D37" s="653"/>
      <c r="E37" s="653"/>
      <c r="F37" s="653"/>
      <c r="G37" s="653"/>
    </row>
    <row r="38" spans="1:7" ht="23.25">
      <c r="A38" s="652"/>
      <c r="B38" s="652"/>
      <c r="C38" s="652"/>
      <c r="D38" s="652"/>
      <c r="E38" s="652"/>
      <c r="F38" s="652"/>
      <c r="G38" s="652"/>
    </row>
    <row r="39" spans="1:7" ht="23.25">
      <c r="A39" s="652"/>
      <c r="B39" s="652"/>
      <c r="C39" s="652"/>
      <c r="D39" s="652"/>
      <c r="E39" s="652"/>
      <c r="F39" s="652"/>
      <c r="G39" s="652"/>
    </row>
    <row r="40" spans="1:7" ht="23.25">
      <c r="A40" s="14"/>
      <c r="B40" s="14"/>
      <c r="C40" s="14"/>
      <c r="D40" s="14"/>
      <c r="E40" s="14"/>
      <c r="F40" s="14"/>
      <c r="G40" s="14"/>
    </row>
    <row r="41" spans="1:7" ht="23.25">
      <c r="A41" s="14"/>
      <c r="B41" s="14"/>
      <c r="C41" s="653"/>
      <c r="D41" s="653"/>
      <c r="E41" s="653"/>
      <c r="F41" s="653"/>
      <c r="G41" s="14"/>
    </row>
    <row r="42" spans="1:7" ht="23.25">
      <c r="A42" s="14"/>
      <c r="B42" s="14"/>
      <c r="C42" s="652"/>
      <c r="D42" s="652"/>
      <c r="E42" s="652"/>
      <c r="F42" s="652"/>
      <c r="G42" s="14"/>
    </row>
    <row r="43" spans="1:7" ht="23.25">
      <c r="A43" s="14"/>
      <c r="B43" s="14"/>
      <c r="C43" s="652"/>
      <c r="D43" s="652"/>
      <c r="E43" s="652"/>
      <c r="F43" s="652"/>
      <c r="G43" s="14"/>
    </row>
  </sheetData>
  <sheetProtection/>
  <mergeCells count="30">
    <mergeCell ref="G1:H1"/>
    <mergeCell ref="A2:H2"/>
    <mergeCell ref="A3:H3"/>
    <mergeCell ref="A4:H4"/>
    <mergeCell ref="A17:D17"/>
    <mergeCell ref="E17:G17"/>
    <mergeCell ref="A18:D18"/>
    <mergeCell ref="E18:G18"/>
    <mergeCell ref="A19:D19"/>
    <mergeCell ref="E19:G19"/>
    <mergeCell ref="C21:F21"/>
    <mergeCell ref="D22:E22"/>
    <mergeCell ref="A38:D38"/>
    <mergeCell ref="E38:G38"/>
    <mergeCell ref="A27:D27"/>
    <mergeCell ref="E27:G27"/>
    <mergeCell ref="A28:D28"/>
    <mergeCell ref="E28:G28"/>
    <mergeCell ref="A29:D29"/>
    <mergeCell ref="E29:G29"/>
    <mergeCell ref="A39:D39"/>
    <mergeCell ref="E39:G39"/>
    <mergeCell ref="C41:F41"/>
    <mergeCell ref="C42:F42"/>
    <mergeCell ref="C43:F43"/>
    <mergeCell ref="C31:F31"/>
    <mergeCell ref="C32:F32"/>
    <mergeCell ref="C33:F33"/>
    <mergeCell ref="A37:D37"/>
    <mergeCell ref="E37:G37"/>
  </mergeCells>
  <printOptions/>
  <pageMargins left="0.37" right="0.14" top="0.87" bottom="0.11811023622047245" header="0.17" footer="0.1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</dc:creator>
  <cp:keywords/>
  <dc:description/>
  <cp:lastModifiedBy>KKD Windows Se7en V1</cp:lastModifiedBy>
  <cp:lastPrinted>2012-06-28T06:54:47Z</cp:lastPrinted>
  <dcterms:created xsi:type="dcterms:W3CDTF">2003-08-05T04:05:04Z</dcterms:created>
  <dcterms:modified xsi:type="dcterms:W3CDTF">2012-07-01T16:50:59Z</dcterms:modified>
  <cp:category/>
  <cp:version/>
  <cp:contentType/>
  <cp:contentStatus/>
</cp:coreProperties>
</file>