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18" activeTab="2"/>
  </bookViews>
  <sheets>
    <sheet name="งบทดลองหลังปิดบัญชี" sheetId="1" r:id="rId1"/>
    <sheet name="งบแสดงฐานะการเงิน" sheetId="2" r:id="rId2"/>
    <sheet name="รับ-จ่ายริง ปี 5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<sst xmlns="http://schemas.openxmlformats.org/spreadsheetml/2006/main" count="167" uniqueCount="123">
  <si>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</si>
  <si>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</si>
  <si>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</si>
  <si>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</si>
  <si>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</si>
  <si>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</si>
  <si>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</si>
  <si>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</si>
  <si>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</si>
  <si>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</si>
  <si>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</si>
  <si>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</si>
  <si>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</si>
  <si>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</si>
  <si>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-</t>
  </si>
  <si>
    <t>ค่าจ้างชั่วคราว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</si>
  <si>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</si>
  <si>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</si>
  <si>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</si>
  <si>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</si>
  <si>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</si>
  <si>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ค่าครุภัณฑ์</t>
  </si>
  <si>
    <t>ค่าที่ดินและสิ่งก่อสร้าง</t>
  </si>
  <si>
    <t>สูงกว่า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</si>
  <si>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</si>
  <si>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</si>
  <si>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</si>
  <si>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</si>
  <si>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</si>
  <si>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</si>
  <si>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</si>
  <si>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เงินฝาก ธกส. กระแสรายวัน 001-5-00135-1</t>
  </si>
  <si>
    <t>รายรับ</t>
  </si>
  <si>
    <t>เงินฝาก ธ. กรุงไทย ประจำ  539-2-04870-6</t>
  </si>
  <si>
    <t>เงินรับฝาก  เบี้ยยังชีพผู้สูงอายุ</t>
  </si>
  <si>
    <t>ทุนสำรองเงินสะสม</t>
  </si>
  <si>
    <t>เงินรับฝาก  อาหารเสริม(นม)</t>
  </si>
  <si>
    <t>เงินรับฝาก  อาหารกลางวัน</t>
  </si>
  <si>
    <t>700</t>
  </si>
  <si>
    <t>รับเงินคืนทุนเล่าเรียน (นายชัยทัต  เรือนแก้ว)</t>
  </si>
  <si>
    <t>โครงการก่อสร้างห้องน้ำสาธารณะ</t>
  </si>
  <si>
    <t xml:space="preserve">เงินสะสม                                </t>
  </si>
  <si>
    <t>ค่าปรับปรุงภูมิทัศน์ศูนย์พัฒนาเด็กเล็ก</t>
  </si>
  <si>
    <t>ค่าติดตั้งมุ้งลวดประตูศูนย์พัฒนาเด็กเล็ก</t>
  </si>
  <si>
    <t>รับคืนเบี้ยยังชีพ</t>
  </si>
  <si>
    <t>ค่าติดตั้งผ้าม่านศูนย์พัฒนาเด็กเล็ก</t>
  </si>
  <si>
    <t>โครงการก่อสร้างถนน  คสล. ม.3</t>
  </si>
  <si>
    <t>โครงการก่อสร้างถนน  คสล. ม.4</t>
  </si>
  <si>
    <t>โครงการก่อสร้างถนน  คสล. ม.5</t>
  </si>
  <si>
    <t>โครงการก่อสร้างถนน  คสล. ม.8</t>
  </si>
  <si>
    <t>โครงการก่อสร้างถนน  คสล. ม.11</t>
  </si>
  <si>
    <t>โครงการก่อสร้างถนน  คสล. ม.2</t>
  </si>
  <si>
    <t>โครงการก่อสร้างถนน  คสล. ม.10</t>
  </si>
  <si>
    <t>โครงการก่อสร้างถนน  คสล. ม.13</t>
  </si>
  <si>
    <t>โครงการก่อสร้างถนน  คสล. ม.12</t>
  </si>
  <si>
    <t>โครงการก่อสร้างลานกีฬา ม.3</t>
  </si>
  <si>
    <t>โครงการก่อสร้างถนน  คสล. ม.1</t>
  </si>
  <si>
    <t>โครงการก่อสร้างถนน  คสล. ม.7</t>
  </si>
  <si>
    <t>ค่าตอบแทนรายเดือน (ผู้บริหาร)</t>
  </si>
  <si>
    <t>เงินเดือนพนักงาน (เงินเพิ่มและปรับตามวุฒิ)</t>
  </si>
  <si>
    <t>เงินฝาก ธกส.  ออมทรัพย์ 001-8-09841-8</t>
  </si>
  <si>
    <t>ค่าตอบแทนรายเดือน (ส.อบต.)</t>
  </si>
  <si>
    <t>โครงการก่อสร้างถนนภายในอบต. ท่าสาย</t>
  </si>
  <si>
    <t>เตาเผาขยะ</t>
  </si>
  <si>
    <t>- 2 -</t>
  </si>
  <si>
    <t>งบทดลองหลังปิดบัญชี</t>
  </si>
  <si>
    <t>010</t>
  </si>
  <si>
    <t>011</t>
  </si>
  <si>
    <t>021</t>
  </si>
  <si>
    <t>022</t>
  </si>
  <si>
    <t>023</t>
  </si>
  <si>
    <t>600</t>
  </si>
  <si>
    <t>704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</si>
  <si>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</si>
  <si>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</si>
  <si>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</si>
  <si>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</si>
  <si>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</si>
  <si>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เงินสดในมือ</t>
  </si>
  <si>
    <t>เงินทุนสำรองเงินสะสม</t>
  </si>
  <si>
    <t>รับคืนเช็คที่มีผู้มารับแต่ไม่ได้นำขึ้นเงิน (มีอายุเกิน 6 เดือน)</t>
  </si>
  <si>
    <t>รับคืนรายจ่ายรอจ่าย  (เงินประโยชน์ตอบแทนพิเศษ)</t>
  </si>
  <si>
    <t>เงินฝาก ธ. กรุงไทย  ประจำ   539-2-04870-6</t>
  </si>
  <si>
    <t>รายได้ค้างรับ(ลูกหนี้ภาษี ปี 53)</t>
  </si>
  <si>
    <t>รายรับสูงกว่ารายจ่าย</t>
  </si>
  <si>
    <t>เงินฝาก ธกส.  ออมทรัพย์ 001-2-65566-8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</si>
  <si>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</si>
  <si>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</si>
  <si>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</si>
  <si>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</si>
  <si>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</si>
  <si>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ค่าปรับและใบอนุญาต</t>
  </si>
  <si>
    <t>เงินอุดหนุนทั่วไป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</si>
  <si>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</si>
  <si>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</si>
  <si>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</si>
  <si>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รายจ่ายตามงบประมาณ</t>
  </si>
  <si>
    <t xml:space="preserve">รายจ่ายอื่น </t>
  </si>
  <si>
    <t>รวมรายจ่ายตามประมาณการรายจ่ายทั้งสิ้น</t>
  </si>
  <si>
    <t>รวมรายจ่ายทั้งสิ้น</t>
  </si>
  <si>
    <t>รายรับ                                   รายจ่าย</t>
  </si>
  <si>
    <t>(ต่ำกว่า)</t>
  </si>
  <si>
    <t>งบรายรับ  -  รายจ่ายตามงบประมาณ  ประจำปี  2554</t>
  </si>
  <si>
    <t>ตั้งแต่วันที่  1  ตุลาคม  2553  ถึงวันที่  30  กันยายน  2554</t>
  </si>
  <si>
    <t>ณ  วันที่   30   กันยายน   2554</t>
  </si>
  <si>
    <t>ณ  วันที่  30  กันยายน  2554</t>
  </si>
  <si>
    <t>รายได้ค้างรับ  (หมายเหตุ  1)</t>
  </si>
  <si>
    <t>รายจ่ายค้างจ่าย (หมายเหตุ 2)</t>
  </si>
  <si>
    <t>รายจ่ายรอจ่าย (หมายเหตุ 3)</t>
  </si>
  <si>
    <t>เงินรับฝากต่าง ๆ (หมายเหตุ 4)</t>
  </si>
  <si>
    <r>
      <rPr>
        <u val="single"/>
        <sz val="16"/>
        <rFont val="AngsanaUPC"/>
        <family val="1"/>
      </rPr>
      <t>บวก</t>
    </r>
    <r>
      <rPr>
        <sz val="16"/>
        <rFont val="AngsanaUPC"/>
        <family val="1"/>
      </rPr>
      <t xml:space="preserve">    รับเงินคืนกลุ่มคัดแยกขยะ,ปุ๋ยชีวภาพ</t>
    </r>
  </si>
  <si>
    <r>
      <rPr>
        <u val="single"/>
        <sz val="16"/>
        <rFont val="AngsanaUPC"/>
        <family val="1"/>
      </rPr>
      <t>หัก</t>
    </r>
    <r>
      <rPr>
        <sz val="16"/>
        <rFont val="AngsanaUPC"/>
        <family val="1"/>
      </rPr>
      <t xml:space="preserve">      จัดซื้อรถบรรทุกน้ำ</t>
    </r>
  </si>
  <si>
    <t>เงินสะสม ณ วันที่  30  กันยายน  2554</t>
  </si>
  <si>
    <t>รายได้ค้างรับ(ลูกหนี้ภาษี ปี 54)</t>
  </si>
  <si>
    <t>โครงการก่อสร้างถนน คสล. ม.9</t>
  </si>
  <si>
    <t xml:space="preserve"> (ลงชื่อ)                                                           จ.ส.อ                                                                   (ลงชื่อ)</t>
  </si>
  <si>
    <t xml:space="preserve">                หัวหน้าส่วนการคลัง                        ปลัดองค์การบริหารส่วนตำบลท่าสาย                 นายกองค์การบริหารส่วนตำบลท่าสาย</t>
  </si>
  <si>
    <t>รายได้ค้างรับ         (หมายเหตุ 1)</t>
  </si>
  <si>
    <t>รายจ่ายค้างจ่าย     (หมายเหตุ 2)</t>
  </si>
  <si>
    <t>รายจ่ายรอจ่าย     (หมายเหตุ 3)</t>
  </si>
  <si>
    <t>เงินรับฝาก      (หมายเหตุ 4)</t>
  </si>
  <si>
    <t>เงินสะสม 1 ตุลาคม 2553</t>
  </si>
  <si>
    <t xml:space="preserve">               (นางจันทรา  สุภาวสิทธิ์)                                   (ปฏิเวช   ยานะนวล)                                  (นางอรัญญา  บุญตานนท์)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</si>
</sst>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  <numFmt numFmtId="236" formatCode="#,##0.0_);##,#00.00"/>
    <numFmt numFmtId="237" formatCode="#,##0.00_);##,#00.000"/>
    <numFmt numFmtId="238" formatCode="#,##0_);##,#00.0"/>
  </numFmts>
  <fonts count="49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u val="single"/>
      <sz val="16"/>
      <name val="AngsanaUPC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43" fontId="1" fillId="33" borderId="0" xfId="42" applyFont="1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3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center"/>
    </xf>
    <xf numFmtId="43" fontId="1" fillId="33" borderId="14" xfId="42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/>
    </xf>
    <xf numFmtId="43" fontId="1" fillId="33" borderId="0" xfId="42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 horizontal="right"/>
    </xf>
    <xf numFmtId="43" fontId="6" fillId="33" borderId="0" xfId="42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94" fontId="1" fillId="33" borderId="13" xfId="42" applyNumberFormat="1" applyFont="1" applyFill="1" applyBorder="1" applyAlignment="1">
      <alignment horizontal="right"/>
    </xf>
    <xf numFmtId="194" fontId="1" fillId="33" borderId="13" xfId="42" applyNumberFormat="1" applyFont="1" applyFill="1" applyBorder="1" applyAlignment="1">
      <alignment horizontal="center"/>
    </xf>
    <xf numFmtId="4" fontId="1" fillId="33" borderId="14" xfId="42" applyNumberFormat="1" applyFont="1" applyFill="1" applyBorder="1" applyAlignment="1">
      <alignment/>
    </xf>
    <xf numFmtId="4" fontId="1" fillId="33" borderId="17" xfId="42" applyNumberFormat="1" applyFont="1" applyFill="1" applyBorder="1" applyAlignment="1">
      <alignment/>
    </xf>
    <xf numFmtId="194" fontId="1" fillId="33" borderId="11" xfId="42" applyNumberFormat="1" applyFont="1" applyFill="1" applyBorder="1" applyAlignment="1">
      <alignment horizontal="center"/>
    </xf>
    <xf numFmtId="4" fontId="1" fillId="33" borderId="0" xfId="42" applyNumberFormat="1" applyFont="1" applyFill="1" applyBorder="1" applyAlignment="1">
      <alignment/>
    </xf>
    <xf numFmtId="4" fontId="1" fillId="33" borderId="18" xfId="42" applyNumberFormat="1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209" fontId="4" fillId="33" borderId="22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4" fontId="4" fillId="33" borderId="24" xfId="0" applyNumberFormat="1" applyFont="1" applyFill="1" applyBorder="1" applyAlignment="1">
      <alignment horizontal="right"/>
    </xf>
    <xf numFmtId="209" fontId="4" fillId="33" borderId="25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4" fillId="33" borderId="25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left" indent="2"/>
    </xf>
    <xf numFmtId="209" fontId="4" fillId="33" borderId="14" xfId="0" applyNumberFormat="1" applyFont="1" applyFill="1" applyBorder="1" applyAlignment="1">
      <alignment horizontal="right"/>
    </xf>
    <xf numFmtId="209" fontId="4" fillId="33" borderId="25" xfId="0" applyNumberFormat="1" applyFont="1" applyFill="1" applyBorder="1" applyAlignment="1">
      <alignment horizontal="center"/>
    </xf>
    <xf numFmtId="209" fontId="4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indent="3"/>
    </xf>
    <xf numFmtId="209" fontId="4" fillId="33" borderId="15" xfId="0" applyNumberFormat="1" applyFont="1" applyFill="1" applyBorder="1" applyAlignment="1">
      <alignment horizontal="right"/>
    </xf>
    <xf numFmtId="209" fontId="4" fillId="33" borderId="26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27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29" xfId="0" applyFont="1" applyBorder="1" applyAlignment="1">
      <alignment/>
    </xf>
    <xf numFmtId="0" fontId="11" fillId="0" borderId="29" xfId="0" applyFont="1" applyBorder="1" applyAlignment="1">
      <alignment horizontal="left" indent="3"/>
    </xf>
    <xf numFmtId="4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1" fillId="0" borderId="29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11" fillId="0" borderId="27" xfId="0" applyFont="1" applyBorder="1" applyAlignment="1">
      <alignment/>
    </xf>
    <xf numFmtId="4" fontId="11" fillId="0" borderId="1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4" fontId="11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left" indent="3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left" indent="3"/>
    </xf>
    <xf numFmtId="4" fontId="1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0" fillId="0" borderId="0" xfId="0" applyNumberFormat="1" applyAlignment="1">
      <alignment horizontal="center" vertical="center"/>
    </xf>
    <xf numFmtId="43" fontId="11" fillId="33" borderId="14" xfId="42" applyNumberFormat="1" applyFont="1" applyFill="1" applyBorder="1" applyAlignment="1">
      <alignment/>
    </xf>
    <xf numFmtId="209" fontId="11" fillId="33" borderId="14" xfId="42" applyNumberFormat="1" applyFont="1" applyFill="1" applyBorder="1" applyAlignment="1">
      <alignment horizontal="right"/>
    </xf>
    <xf numFmtId="43" fontId="11" fillId="33" borderId="14" xfId="42" applyNumberFormat="1" applyFont="1" applyFill="1" applyBorder="1" applyAlignment="1">
      <alignment horizontal="center"/>
    </xf>
    <xf numFmtId="43" fontId="13" fillId="33" borderId="17" xfId="42" applyNumberFormat="1" applyFont="1" applyFill="1" applyBorder="1" applyAlignment="1">
      <alignment/>
    </xf>
    <xf numFmtId="209" fontId="13" fillId="33" borderId="17" xfId="42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23" xfId="0" applyFont="1" applyFill="1" applyBorder="1" applyAlignment="1">
      <alignment horizontal="left" indent="3"/>
    </xf>
    <xf numFmtId="43" fontId="4" fillId="33" borderId="0" xfId="0" applyNumberFormat="1" applyFont="1" applyFill="1" applyAlignment="1">
      <alignment/>
    </xf>
    <xf numFmtId="4" fontId="4" fillId="33" borderId="14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23" xfId="0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43" fontId="1" fillId="33" borderId="29" xfId="0" applyNumberFormat="1" applyFont="1" applyFill="1" applyBorder="1" applyAlignment="1">
      <alignment/>
    </xf>
    <xf numFmtId="43" fontId="0" fillId="33" borderId="28" xfId="0" applyNumberFormat="1" applyFill="1" applyBorder="1" applyAlignment="1">
      <alignment/>
    </xf>
    <xf numFmtId="0" fontId="0" fillId="33" borderId="15" xfId="0" applyFill="1" applyBorder="1" applyAlignment="1">
      <alignment/>
    </xf>
    <xf numFmtId="43" fontId="0" fillId="33" borderId="17" xfId="0" applyNumberFormat="1" applyFill="1" applyBorder="1" applyAlignment="1">
      <alignment/>
    </xf>
    <xf numFmtId="0" fontId="1" fillId="33" borderId="29" xfId="0" applyFont="1" applyFill="1" applyBorder="1" applyAlignment="1">
      <alignment horizontal="left" indent="3"/>
    </xf>
    <xf numFmtId="0" fontId="1" fillId="33" borderId="0" xfId="0" applyFont="1" applyFill="1" applyBorder="1" applyAlignment="1">
      <alignment horizontal="left" indent="3"/>
    </xf>
    <xf numFmtId="0" fontId="4" fillId="33" borderId="0" xfId="0" applyFont="1" applyFill="1" applyAlignment="1" quotePrefix="1">
      <alignment horizontal="center"/>
    </xf>
    <xf numFmtId="0" fontId="4" fillId="33" borderId="31" xfId="0" applyFont="1" applyFill="1" applyBorder="1" applyAlignment="1">
      <alignment/>
    </xf>
    <xf numFmtId="4" fontId="4" fillId="33" borderId="32" xfId="0" applyNumberFormat="1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12" fillId="33" borderId="25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209" fontId="0" fillId="33" borderId="26" xfId="0" applyNumberFormat="1" applyFill="1" applyBorder="1" applyAlignment="1">
      <alignment/>
    </xf>
    <xf numFmtId="209" fontId="0" fillId="33" borderId="17" xfId="0" applyNumberFormat="1" applyFill="1" applyBorder="1" applyAlignment="1">
      <alignment/>
    </xf>
    <xf numFmtId="228" fontId="11" fillId="0" borderId="14" xfId="0" applyNumberFormat="1" applyFont="1" applyBorder="1" applyAlignment="1">
      <alignment horizontal="right" vertical="center"/>
    </xf>
    <xf numFmtId="228" fontId="13" fillId="0" borderId="30" xfId="0" applyNumberFormat="1" applyFont="1" applyBorder="1" applyAlignment="1">
      <alignment horizontal="right" vertical="center"/>
    </xf>
    <xf numFmtId="4" fontId="13" fillId="0" borderId="30" xfId="0" applyNumberFormat="1" applyFont="1" applyBorder="1" applyAlignment="1">
      <alignment horizontal="right" vertical="center"/>
    </xf>
    <xf numFmtId="4" fontId="13" fillId="0" borderId="3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228" fontId="4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247650</xdr:rowOff>
    </xdr:from>
    <xdr:ext cx="2143125" cy="952500"/>
    <xdr:sp>
      <xdr:nvSpPr>
        <xdr:cNvPr id="1" name="Text Box 5"/>
        <xdr:cNvSpPr txBox="1">
          <a:spLocks noChangeArrowheads="1"/>
        </xdr:cNvSpPr>
      </xdr:nvSpPr>
      <xdr:spPr>
        <a:xfrm>
          <a:off x="0" y="7639050"/>
          <a:ext cx="2143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หัวหน้าส่วนการคลัง</a:t>
          </a:r>
        </a:p>
      </xdr:txBody>
    </xdr:sp>
    <xdr:clientData/>
  </xdr:oneCellAnchor>
  <xdr:oneCellAnchor>
    <xdr:from>
      <xdr:col>2</xdr:col>
      <xdr:colOff>85725</xdr:colOff>
      <xdr:row>29</xdr:row>
      <xdr:rowOff>161925</xdr:rowOff>
    </xdr:from>
    <xdr:ext cx="3067050" cy="1447800"/>
    <xdr:sp>
      <xdr:nvSpPr>
        <xdr:cNvPr id="2" name="Text Box 7"/>
        <xdr:cNvSpPr txBox="1">
          <a:spLocks noChangeArrowheads="1"/>
        </xdr:cNvSpPr>
      </xdr:nvSpPr>
      <xdr:spPr>
        <a:xfrm>
          <a:off x="1304925" y="8667750"/>
          <a:ext cx="30670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4</xdr:col>
      <xdr:colOff>228600</xdr:colOff>
      <xdr:row>25</xdr:row>
      <xdr:rowOff>247650</xdr:rowOff>
    </xdr:from>
    <xdr:ext cx="2819400" cy="1095375"/>
    <xdr:sp>
      <xdr:nvSpPr>
        <xdr:cNvPr id="3" name="Text Box 12"/>
        <xdr:cNvSpPr txBox="1">
          <a:spLocks noChangeArrowheads="1"/>
        </xdr:cNvSpPr>
      </xdr:nvSpPr>
      <xdr:spPr>
        <a:xfrm>
          <a:off x="3524250" y="7639050"/>
          <a:ext cx="2819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ลงชื่อ จ.ส.อ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51</xdr:row>
      <xdr:rowOff>19050</xdr:rowOff>
    </xdr:from>
    <xdr:ext cx="2143125" cy="962025"/>
    <xdr:sp>
      <xdr:nvSpPr>
        <xdr:cNvPr id="1" name="Text Box 5"/>
        <xdr:cNvSpPr txBox="1">
          <a:spLocks noChangeArrowheads="1"/>
        </xdr:cNvSpPr>
      </xdr:nvSpPr>
      <xdr:spPr>
        <a:xfrm>
          <a:off x="57150" y="15078075"/>
          <a:ext cx="21431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( 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หัวหน้าส่วนการคลัง</a:t>
          </a:r>
        </a:p>
      </xdr:txBody>
    </xdr:sp>
    <xdr:clientData/>
  </xdr:oneCellAnchor>
  <xdr:oneCellAnchor>
    <xdr:from>
      <xdr:col>3</xdr:col>
      <xdr:colOff>1981200</xdr:colOff>
      <xdr:row>50</xdr:row>
      <xdr:rowOff>200025</xdr:rowOff>
    </xdr:from>
    <xdr:ext cx="3067050" cy="1466850"/>
    <xdr:sp>
      <xdr:nvSpPr>
        <xdr:cNvPr id="2" name="Text Box 7"/>
        <xdr:cNvSpPr txBox="1">
          <a:spLocks noChangeArrowheads="1"/>
        </xdr:cNvSpPr>
      </xdr:nvSpPr>
      <xdr:spPr>
        <a:xfrm>
          <a:off x="7505700" y="14982825"/>
          <a:ext cx="30670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</xdr:col>
      <xdr:colOff>266700</xdr:colOff>
      <xdr:row>50</xdr:row>
      <xdr:rowOff>257175</xdr:rowOff>
    </xdr:from>
    <xdr:ext cx="2819400" cy="1114425"/>
    <xdr:sp>
      <xdr:nvSpPr>
        <xdr:cNvPr id="3" name="Text Box 12"/>
        <xdr:cNvSpPr txBox="1">
          <a:spLocks noChangeArrowheads="1"/>
        </xdr:cNvSpPr>
      </xdr:nvSpPr>
      <xdr:spPr>
        <a:xfrm>
          <a:off x="3638550" y="15039975"/>
          <a:ext cx="28194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ลงชื่อ จ.ส.อ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8;&#3614;&#3637;&#3618;&#3619;&#3607;&#3629;&#3591;\&#3591;&#3610;\&#3591;&#3610;&#3648;&#3604;&#3639;&#3629;&#3609;%20&#3611;&#3637;&#3591;&#3610;&#3611;&#3619;&#3632;&#3617;&#3634;&#3603;%202553\&#3611;&#3636;&#3604;&#3591;&#3610;&#3611;&#3637;%2025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ายรับ-รายจ่าย53 (2)"/>
      <sheetName val="งบทดลองหลังปิดบัญชี"/>
      <sheetName val="งบแสดงฐานะการเงิน"/>
      <sheetName val="งบรายรับ-รายจ่าย53"/>
      <sheetName val="ลูกหนี้เงินยืมสะสม"/>
      <sheetName val="รายจ่ายค้างจ่าย"/>
      <sheetName val="รายจ่ายรอจ่าย"/>
      <sheetName val="รายละเอียดเงินรับฝาก"/>
      <sheetName val="Sheet1"/>
      <sheetName val="งบกระทบยอด"/>
    </sheetNames>
    <sheetDataSet>
      <sheetData sheetId="1">
        <row r="27">
          <cell r="F27">
            <v>18768047.46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5"/>
  <sheetViews>
    <sheetView zoomScalePageLayoutView="0" workbookViewId="0" topLeftCell="A10">
      <selection activeCell="J17" sqref="J17"/>
    </sheetView>
  </sheetViews>
  <sheetFormatPr defaultColWidth="9.140625" defaultRowHeight="21.75"/>
  <cols>
    <col min="1" max="3" width="9.140625" style="1" customWidth="1"/>
    <col min="4" max="4" width="22.00390625" style="1" customWidth="1"/>
    <col min="5" max="5" width="10.57421875" style="1" customWidth="1"/>
    <col min="6" max="6" width="17.7109375" style="1" customWidth="1"/>
    <col min="7" max="7" width="17.5742187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34" t="s">
        <v>0</v>
      </c>
      <c r="B1" s="134"/>
      <c r="C1" s="134"/>
      <c r="D1" s="134"/>
      <c r="E1" s="134"/>
      <c r="F1" s="134"/>
      <c r="G1" s="134"/>
    </row>
    <row r="2" spans="1:7" ht="23.25">
      <c r="A2" s="135" t="s">
        <v>65</v>
      </c>
      <c r="B2" s="135"/>
      <c r="C2" s="135"/>
      <c r="D2" s="135"/>
      <c r="E2" s="135"/>
      <c r="F2" s="135"/>
      <c r="G2" s="135"/>
    </row>
    <row r="3" spans="1:7" ht="23.25">
      <c r="A3" s="136" t="s">
        <v>104</v>
      </c>
      <c r="B3" s="136"/>
      <c r="C3" s="136"/>
      <c r="D3" s="136"/>
      <c r="E3" s="136"/>
      <c r="F3" s="136"/>
      <c r="G3" s="136"/>
    </row>
    <row r="4" spans="1:7" ht="23.25">
      <c r="A4" s="8"/>
      <c r="B4" s="8"/>
      <c r="C4" s="8"/>
      <c r="D4" s="8"/>
      <c r="E4" s="8"/>
      <c r="F4" s="8"/>
      <c r="G4" s="8"/>
    </row>
    <row r="5" spans="1:7" ht="21.75">
      <c r="A5" s="137" t="s">
        <v>2</v>
      </c>
      <c r="B5" s="138"/>
      <c r="C5" s="138"/>
      <c r="D5" s="139"/>
      <c r="E5" s="143" t="s">
        <v>1</v>
      </c>
      <c r="F5" s="143" t="s">
        <v>3</v>
      </c>
      <c r="G5" s="143" t="s">
        <v>4</v>
      </c>
    </row>
    <row r="6" spans="1:7" ht="21.75">
      <c r="A6" s="140"/>
      <c r="B6" s="141"/>
      <c r="C6" s="141"/>
      <c r="D6" s="142"/>
      <c r="E6" s="144"/>
      <c r="F6" s="144"/>
      <c r="G6" s="144"/>
    </row>
    <row r="7" spans="1:7" ht="23.25">
      <c r="A7" s="146" t="s">
        <v>5</v>
      </c>
      <c r="B7" s="147"/>
      <c r="C7" s="147"/>
      <c r="D7" s="147"/>
      <c r="E7" s="9" t="s">
        <v>66</v>
      </c>
      <c r="F7" s="32">
        <v>4455</v>
      </c>
      <c r="G7" s="10"/>
    </row>
    <row r="8" spans="1:7" ht="23.25">
      <c r="A8" s="11" t="s">
        <v>6</v>
      </c>
      <c r="B8" s="12"/>
      <c r="C8" s="12"/>
      <c r="D8" s="12"/>
      <c r="E8" s="13" t="s">
        <v>67</v>
      </c>
      <c r="F8" s="29">
        <v>0</v>
      </c>
      <c r="G8" s="14"/>
    </row>
    <row r="9" spans="1:7" ht="23.25">
      <c r="A9" s="148" t="s">
        <v>25</v>
      </c>
      <c r="B9" s="149"/>
      <c r="C9" s="149"/>
      <c r="D9" s="149"/>
      <c r="E9" s="13" t="s">
        <v>68</v>
      </c>
      <c r="F9" s="29">
        <v>0</v>
      </c>
      <c r="G9" s="14"/>
    </row>
    <row r="10" spans="1:7" ht="23.25">
      <c r="A10" s="11" t="s">
        <v>29</v>
      </c>
      <c r="B10" s="12"/>
      <c r="C10" s="12"/>
      <c r="D10" s="12"/>
      <c r="E10" s="13" t="s">
        <v>68</v>
      </c>
      <c r="F10" s="29">
        <v>0</v>
      </c>
      <c r="G10" s="14"/>
    </row>
    <row r="11" spans="1:7" ht="23.25">
      <c r="A11" s="11" t="s">
        <v>31</v>
      </c>
      <c r="B11" s="12"/>
      <c r="C11" s="12"/>
      <c r="D11" s="12"/>
      <c r="E11" s="13" t="s">
        <v>68</v>
      </c>
      <c r="F11" s="29">
        <v>0</v>
      </c>
      <c r="G11" s="14"/>
    </row>
    <row r="12" spans="1:7" ht="23.25">
      <c r="A12" s="11" t="s">
        <v>24</v>
      </c>
      <c r="B12" s="12"/>
      <c r="C12" s="12"/>
      <c r="D12" s="12"/>
      <c r="E12" s="13" t="s">
        <v>69</v>
      </c>
      <c r="F12" s="28">
        <v>1509.66</v>
      </c>
      <c r="G12" s="14"/>
    </row>
    <row r="13" spans="1:7" ht="23.25">
      <c r="A13" s="148" t="s">
        <v>26</v>
      </c>
      <c r="B13" s="149"/>
      <c r="C13" s="149"/>
      <c r="D13" s="149"/>
      <c r="E13" s="13" t="s">
        <v>69</v>
      </c>
      <c r="F13" s="28">
        <f>4350392.92+5261035.44+4294.9</f>
        <v>9615723.26</v>
      </c>
      <c r="G13" s="14"/>
    </row>
    <row r="14" spans="1:11" ht="23.25">
      <c r="A14" s="148" t="s">
        <v>27</v>
      </c>
      <c r="B14" s="149"/>
      <c r="C14" s="149"/>
      <c r="D14" s="149"/>
      <c r="E14" s="13" t="s">
        <v>69</v>
      </c>
      <c r="F14" s="28">
        <v>951213.24</v>
      </c>
      <c r="G14" s="14"/>
      <c r="H14" s="102" t="s">
        <v>60</v>
      </c>
      <c r="I14" s="2"/>
      <c r="J14" s="2"/>
      <c r="K14" s="2"/>
    </row>
    <row r="15" spans="1:7" ht="23.25">
      <c r="A15" s="148" t="s">
        <v>28</v>
      </c>
      <c r="B15" s="149"/>
      <c r="C15" s="149"/>
      <c r="D15" s="149"/>
      <c r="E15" s="13" t="s">
        <v>70</v>
      </c>
      <c r="F15" s="28">
        <v>2978619.83</v>
      </c>
      <c r="G15" s="14"/>
    </row>
    <row r="16" spans="1:7" ht="23.25">
      <c r="A16" s="11" t="s">
        <v>33</v>
      </c>
      <c r="B16" s="12"/>
      <c r="C16" s="12"/>
      <c r="D16" s="12"/>
      <c r="E16" s="17" t="s">
        <v>70</v>
      </c>
      <c r="F16" s="28">
        <v>6282085.42</v>
      </c>
      <c r="G16" s="14"/>
    </row>
    <row r="17" spans="1:7" ht="23.25">
      <c r="A17" s="148" t="s">
        <v>60</v>
      </c>
      <c r="B17" s="149"/>
      <c r="C17" s="149"/>
      <c r="D17" s="149"/>
      <c r="E17" s="17"/>
      <c r="F17" s="29">
        <v>4672.66</v>
      </c>
      <c r="G17" s="14"/>
    </row>
    <row r="18" spans="1:7" ht="23.25">
      <c r="A18" s="18" t="s">
        <v>117</v>
      </c>
      <c r="B18" s="5"/>
      <c r="C18" s="5"/>
      <c r="D18" s="5"/>
      <c r="E18" s="17"/>
      <c r="F18" s="33">
        <v>77302.52</v>
      </c>
      <c r="G18" s="14"/>
    </row>
    <row r="19" spans="1:7" ht="23.25">
      <c r="A19" s="148" t="s">
        <v>118</v>
      </c>
      <c r="B19" s="149"/>
      <c r="C19" s="149"/>
      <c r="D19" s="149"/>
      <c r="E19" s="17" t="s">
        <v>71</v>
      </c>
      <c r="F19" s="16"/>
      <c r="G19" s="30" t="e">
        <f>#REF!</f>
        <v>#REF!</v>
      </c>
    </row>
    <row r="20" spans="1:7" ht="23.25">
      <c r="A20" s="11" t="s">
        <v>119</v>
      </c>
      <c r="B20" s="12"/>
      <c r="C20" s="12"/>
      <c r="D20" s="12"/>
      <c r="E20" s="17"/>
      <c r="F20" s="16"/>
      <c r="G20" s="30" t="e">
        <f>#REF!</f>
        <v>#REF!</v>
      </c>
    </row>
    <row r="21" spans="1:7" ht="23.25">
      <c r="A21" s="11" t="s">
        <v>41</v>
      </c>
      <c r="B21" s="12"/>
      <c r="C21" s="12"/>
      <c r="D21" s="12"/>
      <c r="E21" s="17" t="s">
        <v>38</v>
      </c>
      <c r="F21" s="16"/>
      <c r="G21" s="30">
        <f>8567259.14+4294.9</f>
        <v>8571554.040000001</v>
      </c>
    </row>
    <row r="22" spans="1:7" ht="23.25">
      <c r="A22" s="11" t="s">
        <v>30</v>
      </c>
      <c r="B22" s="12"/>
      <c r="C22" s="12"/>
      <c r="D22" s="12"/>
      <c r="E22" s="17" t="s">
        <v>72</v>
      </c>
      <c r="F22" s="16"/>
      <c r="G22" s="30">
        <v>7984179.01</v>
      </c>
    </row>
    <row r="23" spans="1:7" ht="23.25">
      <c r="A23" s="18" t="s">
        <v>120</v>
      </c>
      <c r="B23" s="5"/>
      <c r="C23" s="5"/>
      <c r="D23" s="5"/>
      <c r="E23" s="19">
        <v>900</v>
      </c>
      <c r="F23" s="16"/>
      <c r="G23" s="30" t="e">
        <f>#REF!</f>
        <v>#REF!</v>
      </c>
    </row>
    <row r="24" spans="1:7" ht="23.25">
      <c r="A24" s="18"/>
      <c r="B24" s="5"/>
      <c r="C24" s="5"/>
      <c r="D24" s="5"/>
      <c r="E24" s="19"/>
      <c r="F24" s="16"/>
      <c r="G24" s="30"/>
    </row>
    <row r="25" spans="1:7" ht="24" thickBot="1">
      <c r="A25" s="20"/>
      <c r="B25" s="21"/>
      <c r="C25" s="21"/>
      <c r="D25" s="21"/>
      <c r="E25" s="15"/>
      <c r="F25" s="34">
        <f>SUM(F7:F24)</f>
        <v>19915581.59</v>
      </c>
      <c r="G25" s="31" t="e">
        <f>SUM(G19:G24)</f>
        <v>#REF!</v>
      </c>
    </row>
    <row r="26" ht="22.5" thickTop="1"/>
    <row r="27" ht="21.75"/>
    <row r="28" ht="21.75">
      <c r="F28" s="4"/>
    </row>
    <row r="29" spans="1:7" ht="21.75">
      <c r="A29" s="6"/>
      <c r="B29" s="6"/>
      <c r="C29" s="6"/>
      <c r="D29" s="6"/>
      <c r="E29" s="22"/>
      <c r="F29" s="23"/>
      <c r="G29" s="24"/>
    </row>
    <row r="30" spans="1:7" ht="21.75">
      <c r="A30" s="145"/>
      <c r="B30" s="145"/>
      <c r="C30" s="145"/>
      <c r="D30" s="145"/>
      <c r="E30" s="145"/>
      <c r="F30" s="145"/>
      <c r="G30" s="145"/>
    </row>
    <row r="31" spans="1:7" ht="21.75">
      <c r="A31" s="145"/>
      <c r="B31" s="145"/>
      <c r="C31" s="145"/>
      <c r="D31" s="145"/>
      <c r="E31" s="145"/>
      <c r="F31" s="145"/>
      <c r="G31" s="145"/>
    </row>
    <row r="32" spans="1:7" ht="21.75">
      <c r="A32" s="145"/>
      <c r="B32" s="145"/>
      <c r="C32" s="145"/>
      <c r="D32" s="145"/>
      <c r="E32" s="145"/>
      <c r="F32" s="145"/>
      <c r="G32" s="145"/>
    </row>
    <row r="33" ht="21.75"/>
    <row r="34" ht="21.75"/>
    <row r="35" ht="21.75">
      <c r="D35" s="25"/>
    </row>
  </sheetData>
  <sheetProtection/>
  <mergeCells count="17">
    <mergeCell ref="A30:G30"/>
    <mergeCell ref="A31:G31"/>
    <mergeCell ref="A32:G32"/>
    <mergeCell ref="A7:D7"/>
    <mergeCell ref="A9:D9"/>
    <mergeCell ref="A13:D13"/>
    <mergeCell ref="A14:D14"/>
    <mergeCell ref="A15:D15"/>
    <mergeCell ref="A19:D19"/>
    <mergeCell ref="A17:D17"/>
    <mergeCell ref="A1:G1"/>
    <mergeCell ref="A2:G2"/>
    <mergeCell ref="A3:G3"/>
    <mergeCell ref="A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4"/>
  <sheetViews>
    <sheetView zoomScalePageLayoutView="0" workbookViewId="0" topLeftCell="B43">
      <selection activeCell="D12" sqref="D12"/>
    </sheetView>
  </sheetViews>
  <sheetFormatPr defaultColWidth="9.140625" defaultRowHeight="21.75"/>
  <cols>
    <col min="1" max="1" width="50.57421875" style="1" customWidth="1"/>
    <col min="2" max="2" width="16.28125" style="1" customWidth="1"/>
    <col min="3" max="3" width="16.00390625" style="1" customWidth="1"/>
    <col min="4" max="4" width="65.421875" style="1" customWidth="1"/>
    <col min="5" max="5" width="15.7109375" style="1" customWidth="1"/>
    <col min="6" max="6" width="15.8515625" style="1" customWidth="1"/>
    <col min="7" max="7" width="9.140625" style="1" customWidth="1"/>
    <col min="8" max="8" width="12.7109375" style="1" bestFit="1" customWidth="1"/>
    <col min="9" max="16384" width="9.140625" style="1" customWidth="1"/>
  </cols>
  <sheetData>
    <row r="1" spans="1:6" s="26" customFormat="1" ht="23.25">
      <c r="A1" s="150" t="s">
        <v>0</v>
      </c>
      <c r="B1" s="150"/>
      <c r="C1" s="150"/>
      <c r="D1" s="150"/>
      <c r="E1" s="150"/>
      <c r="F1" s="150"/>
    </row>
    <row r="2" spans="1:6" s="26" customFormat="1" ht="23.25">
      <c r="A2" s="150" t="s">
        <v>73</v>
      </c>
      <c r="B2" s="150"/>
      <c r="C2" s="150"/>
      <c r="D2" s="150"/>
      <c r="E2" s="150"/>
      <c r="F2" s="150"/>
    </row>
    <row r="3" spans="1:6" s="26" customFormat="1" ht="24" thickBot="1">
      <c r="A3" s="150" t="s">
        <v>105</v>
      </c>
      <c r="B3" s="150"/>
      <c r="C3" s="150"/>
      <c r="D3" s="150"/>
      <c r="E3" s="150"/>
      <c r="F3" s="150"/>
    </row>
    <row r="4" spans="1:6" s="26" customFormat="1" ht="24" thickTop="1">
      <c r="A4" s="35" t="s">
        <v>74</v>
      </c>
      <c r="B4" s="36"/>
      <c r="C4" s="37"/>
      <c r="D4" s="38" t="s">
        <v>75</v>
      </c>
      <c r="E4" s="39"/>
      <c r="F4" s="39"/>
    </row>
    <row r="5" spans="1:6" s="26" customFormat="1" ht="24" thickBot="1">
      <c r="A5" s="40" t="s">
        <v>76</v>
      </c>
      <c r="B5" s="41"/>
      <c r="C5" s="42">
        <v>19217334.05</v>
      </c>
      <c r="D5" s="43" t="s">
        <v>77</v>
      </c>
      <c r="E5" s="41"/>
      <c r="F5" s="44">
        <f>C5</f>
        <v>19217334.05</v>
      </c>
    </row>
    <row r="6" spans="1:6" s="26" customFormat="1" ht="24" thickTop="1">
      <c r="A6" s="40"/>
      <c r="B6" s="41"/>
      <c r="C6" s="45"/>
      <c r="D6" s="43"/>
      <c r="E6" s="41"/>
      <c r="F6" s="46"/>
    </row>
    <row r="7" spans="1:6" s="26" customFormat="1" ht="23.25">
      <c r="A7" s="40" t="s">
        <v>106</v>
      </c>
      <c r="B7" s="41"/>
      <c r="C7" s="45">
        <f>งบทดลองหลังปิดบัญชี!F18</f>
        <v>77302.52</v>
      </c>
      <c r="D7" s="43" t="s">
        <v>107</v>
      </c>
      <c r="E7" s="41"/>
      <c r="F7" s="46" t="e">
        <f>#REF!</f>
        <v>#REF!</v>
      </c>
    </row>
    <row r="8" spans="1:6" s="26" customFormat="1" ht="23.25">
      <c r="A8" s="40"/>
      <c r="B8" s="41"/>
      <c r="C8" s="45"/>
      <c r="D8" s="43" t="s">
        <v>108</v>
      </c>
      <c r="E8" s="41"/>
      <c r="F8" s="46" t="e">
        <f>#REF!</f>
        <v>#REF!</v>
      </c>
    </row>
    <row r="9" spans="1:6" s="26" customFormat="1" ht="23.25">
      <c r="A9" s="40"/>
      <c r="B9" s="41"/>
      <c r="C9" s="47"/>
      <c r="D9" s="43" t="s">
        <v>109</v>
      </c>
      <c r="E9" s="41"/>
      <c r="F9" s="46" t="e">
        <f>#REF!</f>
        <v>#REF!</v>
      </c>
    </row>
    <row r="10" spans="1:6" s="26" customFormat="1" ht="23.25">
      <c r="A10" s="48" t="s">
        <v>78</v>
      </c>
      <c r="B10" s="41"/>
      <c r="C10" s="47"/>
      <c r="D10" s="43" t="s">
        <v>79</v>
      </c>
      <c r="E10" s="41"/>
      <c r="F10" s="46">
        <f>งบทดลองหลังปิดบัญชี!G22</f>
        <v>7984179.01</v>
      </c>
    </row>
    <row r="11" spans="1:6" s="26" customFormat="1" ht="23.25">
      <c r="A11" s="49" t="s">
        <v>5</v>
      </c>
      <c r="B11" s="50">
        <f>งบทดลองหลังปิดบัญชี!F7</f>
        <v>4455</v>
      </c>
      <c r="C11" s="51"/>
      <c r="D11" s="43" t="s">
        <v>121</v>
      </c>
      <c r="E11" s="3" t="e">
        <f>#REF!</f>
        <v>#REF!</v>
      </c>
      <c r="F11" s="46"/>
    </row>
    <row r="12" spans="1:6" s="26" customFormat="1" ht="23.25">
      <c r="A12" s="49" t="s">
        <v>25</v>
      </c>
      <c r="B12" s="50">
        <v>0</v>
      </c>
      <c r="C12" s="51"/>
      <c r="D12" s="107" t="s">
        <v>110</v>
      </c>
      <c r="E12" s="16">
        <f>24275+1474</f>
        <v>25749</v>
      </c>
      <c r="F12" s="41"/>
    </row>
    <row r="13" spans="1:6" s="26" customFormat="1" ht="23.25">
      <c r="A13" s="49" t="s">
        <v>29</v>
      </c>
      <c r="B13" s="52" t="s">
        <v>14</v>
      </c>
      <c r="C13" s="51"/>
      <c r="D13" s="103" t="s">
        <v>44</v>
      </c>
      <c r="E13" s="16">
        <f>2000+2000+2000+2000</f>
        <v>8000</v>
      </c>
      <c r="F13" s="41"/>
    </row>
    <row r="14" spans="1:8" s="26" customFormat="1" ht="23.25">
      <c r="A14" s="49" t="s">
        <v>31</v>
      </c>
      <c r="B14" s="52" t="s">
        <v>14</v>
      </c>
      <c r="C14" s="51"/>
      <c r="D14" s="103" t="s">
        <v>39</v>
      </c>
      <c r="E14" s="3">
        <f>6000+3000+3000+3000+3000</f>
        <v>18000</v>
      </c>
      <c r="F14" s="41"/>
      <c r="H14" s="104" t="e">
        <f>E11+E12+E13+E14</f>
        <v>#REF!</v>
      </c>
    </row>
    <row r="15" spans="1:8" s="26" customFormat="1" ht="23.25">
      <c r="A15" s="49" t="s">
        <v>24</v>
      </c>
      <c r="B15" s="50">
        <f>งบทดลองหลังปิดบัญชี!F12</f>
        <v>1509.66</v>
      </c>
      <c r="C15" s="51"/>
      <c r="D15" s="53" t="s">
        <v>80</v>
      </c>
      <c r="E15" s="14">
        <v>4294.9</v>
      </c>
      <c r="F15" s="41"/>
      <c r="H15" s="104">
        <f>E21+E22+E23+E24+E25+E26+E27+E28+E31+E32+E33+E34+E35+E36+E37+E38+E39+E40+E41+E42+E43+E44+E45+E45</f>
        <v>9641250.34</v>
      </c>
    </row>
    <row r="16" spans="1:8" s="26" customFormat="1" ht="23.25">
      <c r="A16" s="49" t="s">
        <v>82</v>
      </c>
      <c r="B16" s="50">
        <f>งบทดลองหลังปิดบัญชี!F16</f>
        <v>6282085.42</v>
      </c>
      <c r="C16" s="51"/>
      <c r="D16" s="53" t="s">
        <v>81</v>
      </c>
      <c r="E16" s="14">
        <v>408747.76</v>
      </c>
      <c r="F16" s="41"/>
      <c r="H16" s="104" t="e">
        <f>H14-H15</f>
        <v>#REF!</v>
      </c>
    </row>
    <row r="17" spans="1:6" s="26" customFormat="1" ht="23.25">
      <c r="A17" s="49" t="s">
        <v>26</v>
      </c>
      <c r="B17" s="50">
        <f>งบทดลองหลังปิดบัญชี!F13</f>
        <v>9615723.26</v>
      </c>
      <c r="C17" s="51"/>
      <c r="D17" s="53" t="s">
        <v>113</v>
      </c>
      <c r="E17" s="14">
        <v>77302.52</v>
      </c>
      <c r="F17" s="41"/>
    </row>
    <row r="18" spans="1:8" s="26" customFormat="1" ht="23.25">
      <c r="A18" s="49" t="s">
        <v>85</v>
      </c>
      <c r="B18" s="52" t="s">
        <v>14</v>
      </c>
      <c r="C18" s="51"/>
      <c r="D18" s="103" t="s">
        <v>34</v>
      </c>
      <c r="E18" s="14">
        <v>10500</v>
      </c>
      <c r="F18" s="41"/>
      <c r="H18" s="104" t="e">
        <f>H16-2985340.7</f>
        <v>#REF!</v>
      </c>
    </row>
    <row r="19" spans="1:6" s="26" customFormat="1" ht="23.25">
      <c r="A19" s="49" t="s">
        <v>27</v>
      </c>
      <c r="B19" s="50">
        <f>งบทดลองหลังปิดบัญชี!F14</f>
        <v>951213.24</v>
      </c>
      <c r="C19" s="45"/>
      <c r="D19" s="103" t="s">
        <v>36</v>
      </c>
      <c r="E19" s="14">
        <v>986.8</v>
      </c>
      <c r="F19" s="41"/>
    </row>
    <row r="20" spans="1:6" s="26" customFormat="1" ht="23.25">
      <c r="A20" s="49" t="s">
        <v>28</v>
      </c>
      <c r="B20" s="50">
        <f>งบทดลองหลังปิดบัญชี!F15</f>
        <v>2978619.83</v>
      </c>
      <c r="C20" s="51"/>
      <c r="D20" s="103" t="s">
        <v>37</v>
      </c>
      <c r="E20" s="14">
        <v>80600</v>
      </c>
      <c r="F20" s="41"/>
    </row>
    <row r="21" spans="1:8" s="26" customFormat="1" ht="23.25">
      <c r="A21" s="102" t="s">
        <v>60</v>
      </c>
      <c r="B21" s="54">
        <f>งบทดลองหลังปิดบัญชี!F17</f>
        <v>4672.66</v>
      </c>
      <c r="C21" s="55">
        <f>SUM(B10:B21)</f>
        <v>19838279.069999997</v>
      </c>
      <c r="D21" s="103" t="s">
        <v>84</v>
      </c>
      <c r="E21" s="3">
        <v>5169375.34</v>
      </c>
      <c r="F21" s="41"/>
      <c r="H21" s="104" t="e">
        <f>H15-#REF!</f>
        <v>#REF!</v>
      </c>
    </row>
    <row r="22" spans="1:6" s="26" customFormat="1" ht="23.25">
      <c r="A22" s="56"/>
      <c r="B22" s="119"/>
      <c r="C22" s="120"/>
      <c r="D22" s="107" t="s">
        <v>111</v>
      </c>
      <c r="E22" s="3">
        <v>1037000</v>
      </c>
      <c r="F22" s="46"/>
    </row>
    <row r="23" spans="1:6" s="26" customFormat="1" ht="23.25">
      <c r="A23" s="56"/>
      <c r="B23" s="27"/>
      <c r="C23" s="121"/>
      <c r="D23" s="116" t="s">
        <v>40</v>
      </c>
      <c r="E23" s="3">
        <v>270000</v>
      </c>
      <c r="F23" s="105"/>
    </row>
    <row r="24" spans="1:6" s="26" customFormat="1" ht="23.25">
      <c r="A24" s="27"/>
      <c r="B24" s="27"/>
      <c r="C24" s="121"/>
      <c r="D24" s="103" t="s">
        <v>45</v>
      </c>
      <c r="E24" s="14">
        <v>25000</v>
      </c>
      <c r="F24" s="108"/>
    </row>
    <row r="25" spans="1:6" s="26" customFormat="1" ht="23.25">
      <c r="A25" s="27"/>
      <c r="B25" s="57">
        <f>C23-'[1]งบทดลองหลังปิดบัญชี'!$F$27</f>
        <v>-18768047.46</v>
      </c>
      <c r="C25" s="122"/>
      <c r="D25" s="103" t="s">
        <v>43</v>
      </c>
      <c r="E25" s="14">
        <v>39500</v>
      </c>
      <c r="F25" s="108"/>
    </row>
    <row r="26" spans="1:7" s="26" customFormat="1" ht="23.25">
      <c r="A26" s="2"/>
      <c r="B26" s="2"/>
      <c r="C26" s="123"/>
      <c r="D26" s="103" t="s">
        <v>42</v>
      </c>
      <c r="E26" s="14">
        <v>43000</v>
      </c>
      <c r="F26" s="109"/>
      <c r="G26" s="2"/>
    </row>
    <row r="27" spans="1:7" s="26" customFormat="1" ht="23.25">
      <c r="A27" s="2"/>
      <c r="B27" s="2"/>
      <c r="C27" s="123"/>
      <c r="D27" s="103" t="s">
        <v>114</v>
      </c>
      <c r="E27" s="14">
        <v>136600</v>
      </c>
      <c r="F27" s="109"/>
      <c r="G27" s="2"/>
    </row>
    <row r="28" spans="3:6" s="26" customFormat="1" ht="23.25">
      <c r="C28" s="124"/>
      <c r="D28" s="103" t="s">
        <v>46</v>
      </c>
      <c r="E28" s="14">
        <v>109496</v>
      </c>
      <c r="F28" s="110"/>
    </row>
    <row r="29" spans="4:6" s="26" customFormat="1" ht="23.25">
      <c r="D29" s="117"/>
      <c r="E29" s="16"/>
      <c r="F29" s="27"/>
    </row>
    <row r="30" spans="3:6" s="26" customFormat="1" ht="23.25">
      <c r="C30" s="118" t="s">
        <v>64</v>
      </c>
      <c r="D30" s="117"/>
      <c r="E30" s="16"/>
      <c r="F30" s="27"/>
    </row>
    <row r="31" spans="3:6" s="26" customFormat="1" ht="23.25">
      <c r="C31" s="124"/>
      <c r="D31" s="103" t="s">
        <v>47</v>
      </c>
      <c r="E31" s="14">
        <v>136000</v>
      </c>
      <c r="F31" s="110"/>
    </row>
    <row r="32" spans="2:6" s="26" customFormat="1" ht="23.25">
      <c r="B32" s="58"/>
      <c r="C32" s="124"/>
      <c r="D32" s="103" t="s">
        <v>50</v>
      </c>
      <c r="E32" s="14">
        <v>102500</v>
      </c>
      <c r="F32" s="110"/>
    </row>
    <row r="33" spans="3:6" s="26" customFormat="1" ht="23.25">
      <c r="C33" s="124"/>
      <c r="D33" s="103" t="s">
        <v>51</v>
      </c>
      <c r="E33" s="14">
        <v>135500</v>
      </c>
      <c r="F33" s="110"/>
    </row>
    <row r="34" spans="3:6" ht="23.25">
      <c r="C34" s="125"/>
      <c r="D34" s="103" t="s">
        <v>56</v>
      </c>
      <c r="E34" s="14">
        <v>135500</v>
      </c>
      <c r="F34" s="111"/>
    </row>
    <row r="35" spans="3:6" ht="23.25">
      <c r="C35" s="125"/>
      <c r="D35" s="103" t="s">
        <v>48</v>
      </c>
      <c r="E35" s="14">
        <v>99000</v>
      </c>
      <c r="F35" s="111"/>
    </row>
    <row r="36" spans="3:6" ht="23.25">
      <c r="C36" s="125"/>
      <c r="D36" s="103" t="s">
        <v>53</v>
      </c>
      <c r="E36" s="14">
        <v>94000</v>
      </c>
      <c r="F36" s="111"/>
    </row>
    <row r="37" spans="3:6" ht="23.25">
      <c r="C37" s="125"/>
      <c r="D37" s="103" t="s">
        <v>54</v>
      </c>
      <c r="E37" s="14">
        <v>93000</v>
      </c>
      <c r="F37" s="111"/>
    </row>
    <row r="38" spans="3:6" ht="23.25">
      <c r="C38" s="125"/>
      <c r="D38" s="103" t="s">
        <v>52</v>
      </c>
      <c r="E38" s="14">
        <v>94000</v>
      </c>
      <c r="F38" s="111"/>
    </row>
    <row r="39" spans="3:6" ht="23.25">
      <c r="C39" s="125"/>
      <c r="D39" s="103" t="s">
        <v>55</v>
      </c>
      <c r="E39" s="14">
        <v>25500</v>
      </c>
      <c r="F39" s="111"/>
    </row>
    <row r="40" spans="3:6" ht="23.25">
      <c r="C40" s="125"/>
      <c r="D40" s="103" t="s">
        <v>49</v>
      </c>
      <c r="E40" s="14">
        <v>109000</v>
      </c>
      <c r="F40" s="111"/>
    </row>
    <row r="41" spans="3:6" ht="23.25">
      <c r="C41" s="125"/>
      <c r="D41" s="103" t="s">
        <v>57</v>
      </c>
      <c r="E41" s="14">
        <v>136000</v>
      </c>
      <c r="F41" s="111"/>
    </row>
    <row r="42" spans="3:6" ht="23.25">
      <c r="C42" s="125"/>
      <c r="D42" s="103" t="s">
        <v>62</v>
      </c>
      <c r="E42" s="14">
        <v>280000</v>
      </c>
      <c r="F42" s="111"/>
    </row>
    <row r="43" spans="3:6" ht="23.25">
      <c r="C43" s="125"/>
      <c r="D43" s="103" t="s">
        <v>63</v>
      </c>
      <c r="E43" s="14">
        <v>850000</v>
      </c>
      <c r="F43" s="111"/>
    </row>
    <row r="44" spans="3:6" ht="23.25">
      <c r="C44" s="125"/>
      <c r="D44" s="103" t="s">
        <v>58</v>
      </c>
      <c r="E44" s="14">
        <f>8500+9499+17000+17000+18700+17000+18700+17000+18700+19620</f>
        <v>161719</v>
      </c>
      <c r="F44" s="111"/>
    </row>
    <row r="45" spans="3:6" ht="23.25">
      <c r="C45" s="125"/>
      <c r="D45" s="103" t="s">
        <v>61</v>
      </c>
      <c r="E45" s="14">
        <f>36000+143780</f>
        <v>179780</v>
      </c>
      <c r="F45" s="111"/>
    </row>
    <row r="46" spans="3:6" ht="23.25">
      <c r="C46" s="125"/>
      <c r="D46" s="103" t="s">
        <v>59</v>
      </c>
      <c r="E46" s="14">
        <f>90616+18820+23315+40740+22644.42</f>
        <v>196135.41999999998</v>
      </c>
      <c r="F46" s="112"/>
    </row>
    <row r="47" spans="3:6" ht="23.25">
      <c r="C47" s="125"/>
      <c r="D47" s="103" t="s">
        <v>83</v>
      </c>
      <c r="E47" s="14">
        <v>75593.98</v>
      </c>
      <c r="F47" s="112"/>
    </row>
    <row r="48" spans="3:6" ht="23.25">
      <c r="C48" s="126"/>
      <c r="D48" s="106" t="s">
        <v>112</v>
      </c>
      <c r="E48" s="114"/>
      <c r="F48" s="113" t="e">
        <f>(E11+E12+E13+E14+E15+E16+E17+E18+E19+E20+E21)-(E22+E23+E24+E25+E26+E27+E28+E31+E32+E33+E34+E35+E36+E37+E38+E39+E40+E41+E42+E43+E44+E45+E46+E47)</f>
        <v>#REF!</v>
      </c>
    </row>
    <row r="49" spans="3:6" ht="22.5" thickBot="1">
      <c r="C49" s="127">
        <f>C7+C21</f>
        <v>19915581.589999996</v>
      </c>
      <c r="F49" s="115" t="e">
        <f>F7+F8+F9+F10+F48</f>
        <v>#REF!</v>
      </c>
    </row>
    <row r="50" ht="22.5" thickTop="1"/>
    <row r="51" ht="21.75"/>
    <row r="52" ht="21.75"/>
    <row r="53" ht="21.75"/>
    <row r="54" ht="21.75">
      <c r="E54" s="7"/>
    </row>
    <row r="56" ht="21.75"/>
  </sheetData>
  <sheetProtection/>
  <mergeCells count="3">
    <mergeCell ref="A1:F1"/>
    <mergeCell ref="A2:F2"/>
    <mergeCell ref="A3:F3"/>
  </mergeCells>
  <printOptions/>
  <pageMargins left="0.35433070866141736" right="0.2362204724409449" top="0.2362204724409449" bottom="0.35433070866141736" header="0.15748031496062992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42"/>
  <sheetViews>
    <sheetView tabSelected="1" zoomScalePageLayoutView="0" workbookViewId="0" topLeftCell="A1">
      <selection activeCell="G26" sqref="G26"/>
    </sheetView>
  </sheetViews>
  <sheetFormatPr defaultColWidth="9.140625" defaultRowHeight="21.75"/>
  <cols>
    <col min="1" max="1" width="47.140625" style="0" customWidth="1"/>
    <col min="2" max="2" width="16.28125" style="0" customWidth="1"/>
    <col min="3" max="3" width="15.421875" style="0" customWidth="1"/>
    <col min="4" max="4" width="3.140625" style="0" customWidth="1"/>
    <col min="5" max="5" width="15.28125" style="0" customWidth="1"/>
    <col min="6" max="6" width="11.28125" style="0" bestFit="1" customWidth="1"/>
    <col min="7" max="7" width="12.28125" style="0" bestFit="1" customWidth="1"/>
  </cols>
  <sheetData>
    <row r="1" spans="1:5" s="60" customFormat="1" ht="21">
      <c r="A1" s="151" t="s">
        <v>0</v>
      </c>
      <c r="B1" s="151"/>
      <c r="C1" s="151"/>
      <c r="D1" s="151"/>
      <c r="E1" s="151"/>
    </row>
    <row r="2" spans="1:5" s="60" customFormat="1" ht="21">
      <c r="A2" s="151" t="s">
        <v>102</v>
      </c>
      <c r="B2" s="151"/>
      <c r="C2" s="151"/>
      <c r="D2" s="151"/>
      <c r="E2" s="151"/>
    </row>
    <row r="3" spans="1:5" s="60" customFormat="1" ht="21">
      <c r="A3" s="151" t="s">
        <v>103</v>
      </c>
      <c r="B3" s="151"/>
      <c r="C3" s="151"/>
      <c r="D3" s="151"/>
      <c r="E3" s="151"/>
    </row>
    <row r="4" spans="1:5" s="60" customFormat="1" ht="21">
      <c r="A4" s="61"/>
      <c r="B4" s="152" t="s">
        <v>16</v>
      </c>
      <c r="C4" s="152" t="s">
        <v>86</v>
      </c>
      <c r="D4" s="62" t="s">
        <v>87</v>
      </c>
      <c r="E4" s="62" t="s">
        <v>88</v>
      </c>
    </row>
    <row r="5" spans="1:5" s="60" customFormat="1" ht="21">
      <c r="A5" s="63"/>
      <c r="B5" s="153"/>
      <c r="C5" s="153"/>
      <c r="D5" s="64" t="s">
        <v>14</v>
      </c>
      <c r="E5" s="64" t="s">
        <v>89</v>
      </c>
    </row>
    <row r="6" spans="1:5" s="67" customFormat="1" ht="23.25">
      <c r="A6" s="65" t="s">
        <v>90</v>
      </c>
      <c r="B6" s="66"/>
      <c r="C6" s="66"/>
      <c r="D6" s="66"/>
      <c r="E6" s="66"/>
    </row>
    <row r="7" spans="1:5" s="67" customFormat="1" ht="23.25">
      <c r="A7" s="68" t="s">
        <v>32</v>
      </c>
      <c r="B7" s="66"/>
      <c r="C7" s="66"/>
      <c r="D7" s="66"/>
      <c r="E7" s="66"/>
    </row>
    <row r="8" spans="1:5" s="67" customFormat="1" ht="23.25">
      <c r="A8" s="69" t="s">
        <v>17</v>
      </c>
      <c r="B8" s="97">
        <v>1136000</v>
      </c>
      <c r="C8" s="98">
        <v>1204295.36</v>
      </c>
      <c r="D8" s="71" t="s">
        <v>87</v>
      </c>
      <c r="E8" s="128">
        <f>B8-C8</f>
        <v>-68295.3600000001</v>
      </c>
    </row>
    <row r="9" spans="1:5" s="67" customFormat="1" ht="23.25">
      <c r="A9" s="69" t="s">
        <v>91</v>
      </c>
      <c r="B9" s="97">
        <v>208200</v>
      </c>
      <c r="C9" s="98">
        <v>353307.94</v>
      </c>
      <c r="D9" s="71" t="s">
        <v>87</v>
      </c>
      <c r="E9" s="128">
        <f aca="true" t="shared" si="0" ref="E9:E14">B9-C9</f>
        <v>-145107.94</v>
      </c>
    </row>
    <row r="10" spans="1:5" s="67" customFormat="1" ht="23.25">
      <c r="A10" s="69" t="s">
        <v>18</v>
      </c>
      <c r="B10" s="97">
        <v>215000</v>
      </c>
      <c r="C10" s="98">
        <v>134038.51</v>
      </c>
      <c r="D10" s="71" t="s">
        <v>14</v>
      </c>
      <c r="E10" s="128">
        <f t="shared" si="0"/>
        <v>80961.48999999999</v>
      </c>
    </row>
    <row r="11" spans="1:5" s="67" customFormat="1" ht="23.25">
      <c r="A11" s="69" t="s">
        <v>19</v>
      </c>
      <c r="B11" s="97">
        <v>50000</v>
      </c>
      <c r="C11" s="98">
        <v>212802.18</v>
      </c>
      <c r="D11" s="71" t="s">
        <v>87</v>
      </c>
      <c r="E11" s="128">
        <f t="shared" si="0"/>
        <v>-162802.18</v>
      </c>
    </row>
    <row r="12" spans="1:5" s="67" customFormat="1" ht="23.25">
      <c r="A12" s="69" t="s">
        <v>20</v>
      </c>
      <c r="B12" s="99">
        <v>12390800</v>
      </c>
      <c r="C12" s="98">
        <v>17677188.96</v>
      </c>
      <c r="D12" s="71" t="s">
        <v>87</v>
      </c>
      <c r="E12" s="128">
        <f t="shared" si="0"/>
        <v>-5286388.960000001</v>
      </c>
    </row>
    <row r="13" spans="1:5" s="67" customFormat="1" ht="23.25">
      <c r="A13" s="69" t="s">
        <v>92</v>
      </c>
      <c r="B13" s="99">
        <v>11000000</v>
      </c>
      <c r="C13" s="98">
        <f>H13+7759522</f>
        <v>7759522</v>
      </c>
      <c r="D13" s="71" t="s">
        <v>14</v>
      </c>
      <c r="E13" s="128">
        <f t="shared" si="0"/>
        <v>3240478</v>
      </c>
    </row>
    <row r="14" spans="1:6" s="67" customFormat="1" ht="24" thickBot="1">
      <c r="A14" s="68" t="s">
        <v>93</v>
      </c>
      <c r="B14" s="100">
        <f>SUM(B8:B13)</f>
        <v>25000000</v>
      </c>
      <c r="C14" s="101">
        <f>SUM(C8:C13)</f>
        <v>27341154.95</v>
      </c>
      <c r="D14" s="72" t="s">
        <v>87</v>
      </c>
      <c r="E14" s="129">
        <f t="shared" si="0"/>
        <v>-2341154.9499999993</v>
      </c>
      <c r="F14" s="133"/>
    </row>
    <row r="15" spans="1:5" s="67" customFormat="1" ht="24" thickTop="1">
      <c r="A15" s="74" t="s">
        <v>94</v>
      </c>
      <c r="B15" s="75"/>
      <c r="C15" s="130">
        <f>C14</f>
        <v>27341154.95</v>
      </c>
      <c r="D15" s="73"/>
      <c r="E15" s="76"/>
    </row>
    <row r="16" spans="1:5" s="67" customFormat="1" ht="18" customHeight="1">
      <c r="A16" s="77"/>
      <c r="B16" s="78"/>
      <c r="C16" s="78"/>
      <c r="D16" s="78"/>
      <c r="E16" s="78"/>
    </row>
    <row r="17" spans="1:5" s="67" customFormat="1" ht="23.25">
      <c r="A17" s="79"/>
      <c r="B17" s="154" t="s">
        <v>16</v>
      </c>
      <c r="C17" s="154" t="s">
        <v>95</v>
      </c>
      <c r="D17" s="80" t="s">
        <v>87</v>
      </c>
      <c r="E17" s="80" t="s">
        <v>88</v>
      </c>
    </row>
    <row r="18" spans="1:5" s="67" customFormat="1" ht="23.25">
      <c r="A18" s="81"/>
      <c r="B18" s="155"/>
      <c r="C18" s="155"/>
      <c r="D18" s="82" t="s">
        <v>14</v>
      </c>
      <c r="E18" s="82" t="s">
        <v>89</v>
      </c>
    </row>
    <row r="19" spans="1:5" s="67" customFormat="1" ht="23.25">
      <c r="A19" s="83" t="s">
        <v>96</v>
      </c>
      <c r="B19" s="80"/>
      <c r="C19" s="80"/>
      <c r="D19" s="80"/>
      <c r="E19" s="80"/>
    </row>
    <row r="20" spans="1:5" s="67" customFormat="1" ht="23.25">
      <c r="A20" s="84" t="s">
        <v>13</v>
      </c>
      <c r="B20" s="70">
        <v>3157530</v>
      </c>
      <c r="C20" s="70">
        <f>604856.84+369500</f>
        <v>974356.84</v>
      </c>
      <c r="D20" s="71" t="s">
        <v>14</v>
      </c>
      <c r="E20" s="70">
        <f>SUM(B20-C20)</f>
        <v>2183173.16</v>
      </c>
    </row>
    <row r="21" spans="1:5" s="67" customFormat="1" ht="23.25">
      <c r="A21" s="84" t="s">
        <v>7</v>
      </c>
      <c r="B21" s="70">
        <v>5679791</v>
      </c>
      <c r="C21" s="70">
        <v>5677016.58</v>
      </c>
      <c r="D21" s="71" t="s">
        <v>14</v>
      </c>
      <c r="E21" s="70">
        <f aca="true" t="shared" si="1" ref="E21:E31">SUM(B21-C21)</f>
        <v>2774.4199999999255</v>
      </c>
    </row>
    <row r="22" spans="1:5" s="67" customFormat="1" ht="23.25">
      <c r="A22" s="84" t="s">
        <v>15</v>
      </c>
      <c r="B22" s="70">
        <v>1902100</v>
      </c>
      <c r="C22" s="70">
        <f>1436470+101650</f>
        <v>1538120</v>
      </c>
      <c r="D22" s="71" t="s">
        <v>14</v>
      </c>
      <c r="E22" s="70">
        <f t="shared" si="1"/>
        <v>363980</v>
      </c>
    </row>
    <row r="23" spans="1:5" s="67" customFormat="1" ht="23.25">
      <c r="A23" s="84" t="s">
        <v>8</v>
      </c>
      <c r="B23" s="70">
        <v>2222799</v>
      </c>
      <c r="C23" s="70">
        <f>595283.5+1588900</f>
        <v>2184183.5</v>
      </c>
      <c r="D23" s="71" t="s">
        <v>14</v>
      </c>
      <c r="E23" s="70">
        <f t="shared" si="1"/>
        <v>38615.5</v>
      </c>
    </row>
    <row r="24" spans="1:5" s="67" customFormat="1" ht="23.25">
      <c r="A24" s="84" t="s">
        <v>9</v>
      </c>
      <c r="B24" s="70">
        <v>4208900</v>
      </c>
      <c r="C24" s="70">
        <f>2015931.61+1857688.41</f>
        <v>3873620.02</v>
      </c>
      <c r="D24" s="71" t="s">
        <v>14</v>
      </c>
      <c r="E24" s="70">
        <f t="shared" si="1"/>
        <v>335279.98</v>
      </c>
    </row>
    <row r="25" spans="1:5" s="67" customFormat="1" ht="23.25">
      <c r="A25" s="84" t="s">
        <v>10</v>
      </c>
      <c r="B25" s="70">
        <v>2095480</v>
      </c>
      <c r="C25" s="70">
        <f>1088333.36+761062.2</f>
        <v>1849395.56</v>
      </c>
      <c r="D25" s="71" t="s">
        <v>14</v>
      </c>
      <c r="E25" s="70">
        <f t="shared" si="1"/>
        <v>246084.43999999994</v>
      </c>
    </row>
    <row r="26" spans="1:7" s="67" customFormat="1" ht="23.25">
      <c r="A26" s="84" t="s">
        <v>11</v>
      </c>
      <c r="B26" s="70">
        <v>433000</v>
      </c>
      <c r="C26" s="70">
        <f>295769.22+44582.31</f>
        <v>340351.52999999997</v>
      </c>
      <c r="D26" s="71" t="s">
        <v>14</v>
      </c>
      <c r="E26" s="70">
        <f t="shared" si="1"/>
        <v>92648.47000000003</v>
      </c>
      <c r="G26" s="85"/>
    </row>
    <row r="27" spans="1:5" s="67" customFormat="1" ht="23.25">
      <c r="A27" s="84" t="s">
        <v>12</v>
      </c>
      <c r="B27" s="70">
        <v>2767200</v>
      </c>
      <c r="C27" s="70">
        <f>764100+1751597.47</f>
        <v>2515697.4699999997</v>
      </c>
      <c r="D27" s="71" t="s">
        <v>14</v>
      </c>
      <c r="E27" s="70">
        <f t="shared" si="1"/>
        <v>251502.53000000026</v>
      </c>
    </row>
    <row r="28" spans="1:5" s="67" customFormat="1" ht="23.25">
      <c r="A28" s="84" t="s">
        <v>21</v>
      </c>
      <c r="B28" s="70">
        <v>173200</v>
      </c>
      <c r="C28" s="70">
        <f>79417+81853</f>
        <v>161270</v>
      </c>
      <c r="D28" s="71" t="s">
        <v>14</v>
      </c>
      <c r="E28" s="70">
        <f t="shared" si="1"/>
        <v>11930</v>
      </c>
    </row>
    <row r="29" spans="1:5" s="67" customFormat="1" ht="23.25">
      <c r="A29" s="84" t="s">
        <v>22</v>
      </c>
      <c r="B29" s="70">
        <v>2300000</v>
      </c>
      <c r="C29" s="70">
        <f>269983+689433+320000</f>
        <v>1279416</v>
      </c>
      <c r="D29" s="71" t="s">
        <v>14</v>
      </c>
      <c r="E29" s="70">
        <f t="shared" si="1"/>
        <v>1020584</v>
      </c>
    </row>
    <row r="30" spans="1:5" s="88" customFormat="1" ht="23.25">
      <c r="A30" s="86" t="s">
        <v>97</v>
      </c>
      <c r="B30" s="87">
        <v>60000</v>
      </c>
      <c r="C30" s="87">
        <f>46227+9000</f>
        <v>55227</v>
      </c>
      <c r="D30" s="71" t="s">
        <v>14</v>
      </c>
      <c r="E30" s="70">
        <f t="shared" si="1"/>
        <v>4773</v>
      </c>
    </row>
    <row r="31" spans="1:5" s="88" customFormat="1" ht="23.25">
      <c r="A31" s="83" t="s">
        <v>98</v>
      </c>
      <c r="B31" s="130">
        <f>SUM(B20:B30)</f>
        <v>25000000</v>
      </c>
      <c r="C31" s="130">
        <f>SUM(C20:C30)</f>
        <v>20448654.5</v>
      </c>
      <c r="D31" s="131" t="s">
        <v>14</v>
      </c>
      <c r="E31" s="130">
        <f t="shared" si="1"/>
        <v>4551345.5</v>
      </c>
    </row>
    <row r="32" spans="1:5" s="88" customFormat="1" ht="23.25">
      <c r="A32" s="89" t="s">
        <v>99</v>
      </c>
      <c r="B32" s="90"/>
      <c r="C32" s="130">
        <f>SUM(C31)</f>
        <v>20448654.5</v>
      </c>
      <c r="D32" s="90"/>
      <c r="E32" s="90"/>
    </row>
    <row r="33" spans="1:5" s="88" customFormat="1" ht="23.25">
      <c r="A33" s="83" t="s">
        <v>35</v>
      </c>
      <c r="B33" s="90"/>
      <c r="C33" s="130">
        <f>(C15-C32)*25/100</f>
        <v>1723125.1124999998</v>
      </c>
      <c r="D33" s="90"/>
      <c r="E33" s="90"/>
    </row>
    <row r="34" spans="1:5" s="88" customFormat="1" ht="23.25">
      <c r="A34" s="59" t="s">
        <v>23</v>
      </c>
      <c r="B34" s="90"/>
      <c r="C34" s="132">
        <f>C15-C32-C33</f>
        <v>5169375.337499999</v>
      </c>
      <c r="D34" s="90"/>
      <c r="E34" s="90"/>
    </row>
    <row r="35" spans="1:5" s="88" customFormat="1" ht="23.25">
      <c r="A35" s="59" t="s">
        <v>100</v>
      </c>
      <c r="B35" s="90"/>
      <c r="C35" s="91"/>
      <c r="D35" s="90"/>
      <c r="E35" s="90"/>
    </row>
    <row r="36" spans="1:5" ht="21.75">
      <c r="A36" s="59" t="s">
        <v>101</v>
      </c>
      <c r="B36" s="92"/>
      <c r="C36" s="93"/>
      <c r="D36" s="92"/>
      <c r="E36" s="92"/>
    </row>
    <row r="37" spans="1:5" ht="21.75">
      <c r="A37" s="59"/>
      <c r="B37" s="92"/>
      <c r="C37" s="94"/>
      <c r="D37" s="92"/>
      <c r="E37" s="92"/>
    </row>
    <row r="38" spans="1:5" ht="21.75">
      <c r="A38" s="59"/>
      <c r="B38" s="92"/>
      <c r="C38" s="94"/>
      <c r="D38" s="92"/>
      <c r="E38" s="92"/>
    </row>
    <row r="39" spans="1:5" ht="21.75">
      <c r="A39" s="95" t="s">
        <v>115</v>
      </c>
      <c r="B39" s="96"/>
      <c r="C39" s="96"/>
      <c r="D39" s="96"/>
      <c r="E39" s="96"/>
    </row>
    <row r="40" ht="21.75">
      <c r="A40" s="95" t="s">
        <v>122</v>
      </c>
    </row>
    <row r="41" ht="21.75">
      <c r="A41" s="95" t="s">
        <v>116</v>
      </c>
    </row>
    <row r="42" ht="21.75">
      <c r="A42" s="95"/>
    </row>
  </sheetData>
  <sheetProtection/>
  <mergeCells count="7">
    <mergeCell ref="A1:E1"/>
    <mergeCell ref="A2:E2"/>
    <mergeCell ref="A3:E3"/>
    <mergeCell ref="B4:B5"/>
    <mergeCell ref="C4:C5"/>
    <mergeCell ref="B17:B18"/>
    <mergeCell ref="C17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FasterUser</cp:lastModifiedBy>
  <cp:lastPrinted>2011-11-03T04:07:03Z</cp:lastPrinted>
  <dcterms:created xsi:type="dcterms:W3CDTF">2003-08-05T04:05:04Z</dcterms:created>
  <dcterms:modified xsi:type="dcterms:W3CDTF">2012-07-17T07:33:13Z</dcterms:modified>
  <cp:category/>
  <cp:version/>
  <cp:contentType/>
  <cp:contentStatus/>
</cp:coreProperties>
</file>